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NHCRuser\Desktop\LCRP 2017\DRAFT\Chapter\2nd submission\final submission\Prefinal Submitted\"/>
    </mc:Choice>
  </mc:AlternateContent>
  <bookViews>
    <workbookView xWindow="0" yWindow="0" windowWidth="19185" windowHeight="7680" activeTab="2"/>
  </bookViews>
  <sheets>
    <sheet name="Readme" sheetId="29" r:id="rId1"/>
    <sheet name="Summary" sheetId="22" r:id="rId2"/>
    <sheet name="Outcome 1" sheetId="37" r:id="rId3"/>
    <sheet name="Outcome 2" sheetId="38" r:id="rId4"/>
    <sheet name="Outcome  3" sheetId="39" r:id="rId5"/>
    <sheet name="PIN" sheetId="40" r:id="rId6"/>
  </sheets>
  <definedNames>
    <definedName name="_xlnm.Print_Area" localSheetId="4">'Outcome  3'!$A$1:$W$24</definedName>
  </definedNames>
  <calcPr calcId="152511"/>
</workbook>
</file>

<file path=xl/calcChain.xml><?xml version="1.0" encoding="utf-8"?>
<calcChain xmlns="http://schemas.openxmlformats.org/spreadsheetml/2006/main">
  <c r="C11" i="38" l="1"/>
  <c r="C11" i="37" l="1"/>
  <c r="D11" i="37"/>
  <c r="C15" i="22" l="1"/>
  <c r="C33" i="38" l="1"/>
  <c r="BP18" i="38"/>
  <c r="BK18" i="38"/>
  <c r="BF18" i="38"/>
  <c r="BA18" i="38"/>
  <c r="AV18" i="38"/>
  <c r="AQ18" i="38"/>
  <c r="AL18" i="38"/>
  <c r="AG18" i="38"/>
  <c r="P18" i="38"/>
  <c r="BP39" i="38"/>
  <c r="BK39" i="38"/>
  <c r="BF39" i="38"/>
  <c r="BA39" i="38"/>
  <c r="AV39" i="38"/>
  <c r="AQ39" i="38"/>
  <c r="AL39" i="38"/>
  <c r="AG39" i="38"/>
  <c r="P39" i="38"/>
  <c r="BP17" i="37"/>
  <c r="BK17" i="37"/>
  <c r="BF17" i="37"/>
  <c r="BA17" i="37"/>
  <c r="AV17" i="37"/>
  <c r="AQ17" i="37"/>
  <c r="AL17" i="37"/>
  <c r="AG17" i="37"/>
  <c r="P17" i="37" l="1"/>
  <c r="B15" i="22"/>
  <c r="D8" i="40" l="1"/>
  <c r="C8" i="40"/>
  <c r="B8" i="40"/>
  <c r="K7" i="40"/>
  <c r="I7" i="40"/>
  <c r="G7" i="40"/>
  <c r="E7" i="40"/>
  <c r="K6" i="40"/>
  <c r="I6" i="40"/>
  <c r="G6" i="40"/>
  <c r="E6" i="40"/>
  <c r="M5" i="40"/>
  <c r="K5" i="40"/>
  <c r="I5" i="40"/>
  <c r="G5" i="40"/>
  <c r="E5" i="40"/>
  <c r="K4" i="40"/>
  <c r="K8" i="40" s="1"/>
  <c r="I4" i="40"/>
  <c r="I8" i="40" s="1"/>
  <c r="G4" i="40"/>
  <c r="G8" i="40" s="1"/>
  <c r="E4" i="40"/>
  <c r="E8" i="40" s="1"/>
  <c r="D35" i="38" l="1"/>
  <c r="D13" i="38"/>
  <c r="D13" i="37"/>
  <c r="D12" i="37"/>
  <c r="C13" i="22" l="1"/>
  <c r="B13" i="22"/>
  <c r="C11" i="39"/>
  <c r="D11" i="38"/>
  <c r="F24" i="22"/>
  <c r="K18" i="38"/>
  <c r="H18" i="38"/>
  <c r="K17" i="38" l="1"/>
  <c r="C17" i="22" l="1"/>
  <c r="P17" i="39" l="1"/>
  <c r="D17" i="22" l="1"/>
  <c r="D16" i="22"/>
  <c r="D15" i="22"/>
  <c r="D13" i="22" s="1"/>
  <c r="D14" i="22"/>
  <c r="C14" i="22"/>
  <c r="D33" i="38"/>
  <c r="D34" i="38"/>
  <c r="D12" i="38"/>
  <c r="E29" i="22"/>
  <c r="H29" i="22" s="1"/>
  <c r="D29" i="22"/>
  <c r="G29" i="22" s="1"/>
  <c r="E26" i="22"/>
  <c r="H26" i="22" s="1"/>
  <c r="D26" i="22"/>
  <c r="E27" i="22"/>
  <c r="D27" i="22"/>
  <c r="G27" i="22" s="1"/>
  <c r="E24" i="22"/>
  <c r="H24" i="22" s="1"/>
  <c r="D24" i="22"/>
  <c r="G24" i="22" s="1"/>
  <c r="C27" i="22"/>
  <c r="F27" i="22" s="1"/>
  <c r="C24" i="22"/>
  <c r="H27" i="22" l="1"/>
  <c r="G26" i="22"/>
  <c r="C29" i="22"/>
  <c r="D11" i="39" l="1"/>
  <c r="F29" i="22"/>
  <c r="C26" i="22" l="1"/>
  <c r="F26" i="22" l="1"/>
  <c r="C8" i="22"/>
  <c r="D8" i="22" s="1"/>
  <c r="C9" i="22" l="1"/>
  <c r="D9" i="22" s="1"/>
  <c r="C10" i="22"/>
  <c r="D10" i="22" s="1"/>
</calcChain>
</file>

<file path=xl/comments1.xml><?xml version="1.0" encoding="utf-8"?>
<comments xmlns="http://schemas.openxmlformats.org/spreadsheetml/2006/main">
  <authors>
    <author>UNHCRuser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NPTP: 500,000
IOM: 28,574 </t>
        </r>
      </text>
    </comment>
  </commentList>
</comments>
</file>

<file path=xl/comments2.xml><?xml version="1.0" encoding="utf-8"?>
<comments xmlns="http://schemas.openxmlformats.org/spreadsheetml/2006/main">
  <authors>
    <author>ghosn</author>
    <author>UNHCRuser</author>
    <author>Louisa Lippi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source: UNRWA vulnerability assessment / pop package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ghosn:
source: UNRWA vulnerability assessment / pop package
targeted in winter only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source: NPTP, extreme poverty line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based on UNHCR cash PDM. Question" how much has the monthly cash assistance enabled you to meet your basic needs"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Syrians estimated based on inclusion rate of ~12000 per month in 2017 + Lebanese estimated based on inclusion rate of 2750 per month + 9000 PRS + 5500 HH visits (10% of baseline receiving cash) + 40,000 household visits for economically vulnerable households scored through the desk formula and were not HPQ'ed + visits to 9000 HHs every quarter - unit cost $20
</t>
        </r>
        <r>
          <rPr>
            <b/>
            <sz val="9"/>
            <color indexed="81"/>
            <rFont val="Tahoma"/>
            <family val="2"/>
          </rPr>
          <t xml:space="preserve">llippi:
</t>
        </r>
        <r>
          <rPr>
            <sz val="9"/>
            <color indexed="81"/>
            <rFont val="Tahoma"/>
            <family val="2"/>
          </rPr>
          <t xml:space="preserve">budget for unconditional cash transfer includes $8,500,000 (1,700,000/monthx5monhs) for Jan to May 2017 of the 2016-2017 school year and 14,100,000  (5,000,000/monthfor Oct-Dec of 2017-2018 school year.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additional number of PRS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total budget for Lebanese / overall budget
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Estimated number of households receiving MCAP by end 2016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Full year target. Addition of ~35,000 every quarter
Baseline for start of year estimated at 55,000 households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500 returnees; the rest NPTP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UNHCRuser:
strategic objective 2</t>
        </r>
      </text>
    </comment>
    <comment ref="U19" authorId="1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check with NPTP
</t>
        </r>
      </text>
    </comment>
    <comment ref="M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50,000 children targeted in 2016-2017 school year.
130,000 children targeted in the 2017-2018 school year</t>
        </r>
      </text>
    </comment>
    <comment ref="AD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12,500 children in 2016-2017 school year and 14,375 children in the 2017-2018 school year</t>
        </r>
      </text>
    </comment>
    <comment ref="AI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  <comment ref="AN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12,500 children in 2016-2017 school year and 14,375 children in the 2017-2018 school year</t>
        </r>
      </text>
    </comment>
    <comment ref="AS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  <comment ref="AX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  <comment ref="BC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  <comment ref="BH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  <comment ref="BM20" authorId="2" shapeId="0">
      <text>
        <r>
          <rPr>
            <b/>
            <sz val="9"/>
            <color indexed="81"/>
            <rFont val="Tahoma"/>
            <family val="2"/>
          </rPr>
          <t>Louisa Lippi:</t>
        </r>
        <r>
          <rPr>
            <sz val="9"/>
            <color indexed="81"/>
            <rFont val="Tahoma"/>
            <family val="2"/>
          </rPr>
          <t xml:space="preserve">
for 2017-2018 school year only</t>
        </r>
      </text>
    </comment>
  </commentList>
</comments>
</file>

<file path=xl/comments3.xml><?xml version="1.0" encoding="utf-8"?>
<comments xmlns="http://schemas.openxmlformats.org/spreadsheetml/2006/main">
  <authors>
    <author>UNHCRuser</author>
    <author>ghosn</author>
    <author>Louisa Lippi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L6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T6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to be tracked through PDMs</t>
        </r>
      </text>
    </comment>
    <comment ref="C11" authorId="2" shapeId="0">
      <text>
        <r>
          <rPr>
            <b/>
            <sz val="9"/>
            <color indexed="81"/>
            <rFont val="Tahoma"/>
            <charset val="1"/>
          </rPr>
          <t>Louisa Lippi:</t>
        </r>
        <r>
          <rPr>
            <sz val="9"/>
            <color indexed="81"/>
            <rFont val="Tahoma"/>
            <charset val="1"/>
          </rPr>
          <t xml:space="preserve">
inlcudes the gap ($4.6m) for 2016/2017 winter for Lebanese and kits for hard to reach Syrians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 </t>
        </r>
      </text>
    </comment>
    <comment ref="P18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2000 for RET
</t>
        </r>
      </text>
    </comment>
    <comment ref="P19" authorId="2" shapeId="0">
      <text>
        <r>
          <rPr>
            <b/>
            <sz val="9"/>
            <color indexed="81"/>
            <rFont val="Tahoma"/>
            <charset val="1"/>
          </rPr>
          <t>Louisa Lippi:</t>
        </r>
        <r>
          <rPr>
            <sz val="9"/>
            <color indexed="81"/>
            <rFont val="Tahoma"/>
            <charset val="1"/>
          </rPr>
          <t xml:space="preserve">
75,000 Leb targeted in Jan-Feb 2017 winter and 75,000 Leb targeted in Oct-Nov 2017 winter 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unit cost = $ 136 (Avg cost)
Total unique Target = 65,000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2 </t>
        </r>
      </text>
    </comment>
    <comment ref="K39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Activity Info Reporting - Jan to Sep 2016 LCRP funding =yes
</t>
        </r>
      </text>
    </comment>
    <comment ref="P39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2000 for RET</t>
        </r>
      </text>
    </comment>
  </commentList>
</comments>
</file>

<file path=xl/comments4.xml><?xml version="1.0" encoding="utf-8"?>
<comments xmlns="http://schemas.openxmlformats.org/spreadsheetml/2006/main">
  <authors>
    <author>UNHCRuser</author>
    <author>ghosn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 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75,000 for study + 4*2500 for workshops + 10,000 for development of training curriculum + 100,000 assessment of the safety net system (Unicef)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strategic objective 3 </t>
        </r>
      </text>
    </comment>
    <comment ref="P17" authorId="1" shapeId="0">
      <text>
        <r>
          <rPr>
            <b/>
            <sz val="9"/>
            <color indexed="81"/>
            <rFont val="Tahoma"/>
            <family val="2"/>
          </rPr>
          <t>ghosn:</t>
        </r>
        <r>
          <rPr>
            <sz val="9"/>
            <color indexed="81"/>
            <rFont val="Tahoma"/>
            <family val="2"/>
          </rPr>
          <t xml:space="preserve">
4 training workshops. 20 Participants in each. </t>
        </r>
      </text>
    </comment>
  </commentList>
</comments>
</file>

<file path=xl/sharedStrings.xml><?xml version="1.0" encoding="utf-8"?>
<sst xmlns="http://schemas.openxmlformats.org/spreadsheetml/2006/main" count="956" uniqueCount="219">
  <si>
    <t>Frequency</t>
  </si>
  <si>
    <t>Baseline</t>
  </si>
  <si>
    <t>List below indicators used to evaluate the impact of programmes under outcome 1 i.e. measure Outcome 1</t>
  </si>
  <si>
    <t>Definition / Description</t>
  </si>
  <si>
    <t>Syrians</t>
  </si>
  <si>
    <t>Leb</t>
  </si>
  <si>
    <t>Indicator ID</t>
  </si>
  <si>
    <t>Outcome Indicators</t>
  </si>
  <si>
    <t>Output Indicator</t>
  </si>
  <si>
    <t>Budget</t>
  </si>
  <si>
    <t>Unit</t>
  </si>
  <si>
    <t>Akkar</t>
  </si>
  <si>
    <t>Baalbek-Hermel</t>
  </si>
  <si>
    <t>Beirut</t>
  </si>
  <si>
    <t>Bekaa</t>
  </si>
  <si>
    <t>Nabatiyeh</t>
  </si>
  <si>
    <t>North</t>
  </si>
  <si>
    <t>South</t>
  </si>
  <si>
    <t>A</t>
  </si>
  <si>
    <t>B</t>
  </si>
  <si>
    <t>%</t>
  </si>
  <si>
    <t>SYR</t>
  </si>
  <si>
    <t>LEB</t>
  </si>
  <si>
    <t>Mount Lebanon</t>
  </si>
  <si>
    <t>% Humanitarian</t>
  </si>
  <si>
    <t>% Stabilization</t>
  </si>
  <si>
    <t>Output Budget (USD)</t>
  </si>
  <si>
    <t>All Population</t>
  </si>
  <si>
    <t>PRL</t>
  </si>
  <si>
    <t>PRS</t>
  </si>
  <si>
    <t>Vulnerable Lebanese</t>
  </si>
  <si>
    <t>Persons Displaced from Syria</t>
  </si>
  <si>
    <t>In Need (persons)</t>
  </si>
  <si>
    <t>Means of Verification ( how to measure and who is responsible )</t>
  </si>
  <si>
    <t>Outcome</t>
  </si>
  <si>
    <t>Output</t>
  </si>
  <si>
    <t>Targeted 2017</t>
  </si>
  <si>
    <t>2020</t>
  </si>
  <si>
    <t>2019</t>
  </si>
  <si>
    <t>Indicative Target 2018</t>
  </si>
  <si>
    <t>TBD in 2017</t>
  </si>
  <si>
    <t>TBD in 2018</t>
  </si>
  <si>
    <t>Targets 2017</t>
  </si>
  <si>
    <t>Target 2017</t>
  </si>
  <si>
    <t>Target 2018</t>
  </si>
  <si>
    <t>TBD 2017</t>
  </si>
  <si>
    <t>TBD 2018</t>
  </si>
  <si>
    <t>Targets per governorate (Mandatory at output level) - required for 2017 only</t>
  </si>
  <si>
    <t>INST</t>
  </si>
  <si>
    <t>Targets 2018 (Optional)</t>
  </si>
  <si>
    <t>year 2017</t>
  </si>
  <si>
    <t>Institutions (List them)</t>
  </si>
  <si>
    <t xml:space="preserve">Budget </t>
  </si>
  <si>
    <t>LCRP 2017/2020 Sector Logframe template</t>
  </si>
  <si>
    <t xml:space="preserve">1. Please place each Outcome on a separate Sheet within the same workbook. </t>
  </si>
  <si>
    <t>2. Please use excel formulas to sum up the budgets and % Humanitarian/Stabilization</t>
  </si>
  <si>
    <t xml:space="preserve">3. 2017/2018 budgets and targets are mandatory </t>
  </si>
  <si>
    <t>4. For institutions, you can modify the column headings and add as many columns as necessary; 1 colum per institution. Ex: School, Municipalities, SDCs , Water establishments, central ministries, etc…</t>
  </si>
  <si>
    <t>Lead Ministry</t>
  </si>
  <si>
    <t>Coordinating Agency</t>
  </si>
  <si>
    <t>Contact Information</t>
  </si>
  <si>
    <t>6. File Name should be "LCRP_2017_SECTOR_LOGFRAME_Version</t>
  </si>
  <si>
    <t>5. Please make sure to update the document version on the summary page, Cell B1</t>
  </si>
  <si>
    <t>Target 2020</t>
  </si>
  <si>
    <t>List below indicators used to measure Output 1.1</t>
  </si>
  <si>
    <t>Means of Verification ( how to measure and who is responsible, tools used )</t>
  </si>
  <si>
    <t>List Activities under this output 1.1</t>
  </si>
  <si>
    <t>Economic vulnerability
numerator:# of total affected households that are found to be severely economically vulnerable
denominator: total # HH</t>
  </si>
  <si>
    <t>Yearly</t>
  </si>
  <si>
    <t>% of population who is severely economically vulnerable</t>
  </si>
  <si>
    <t>HH</t>
  </si>
  <si>
    <t>RAIS, ActivityInfo</t>
  </si>
  <si>
    <t>List below indicators used to measure Output 2.1</t>
  </si>
  <si>
    <t>ad-hoc/ needs based</t>
  </si>
  <si>
    <t>% (HH)</t>
  </si>
  <si>
    <t>Numberator: # of assisted reporting ability to meet their basic survival needs 
Denominator:# total assisted who have been sampled</t>
  </si>
  <si>
    <t>Quarterly</t>
  </si>
  <si>
    <t xml:space="preserve">% of severely economically vulnerable households receiving food and cash assistance </t>
  </si>
  <si>
    <t xml:space="preserve">The proportion of cash recipiants also receiving food assistance </t>
  </si>
  <si>
    <t xml:space="preserve">Quarterly </t>
  </si>
  <si>
    <t># of households assisted with one off cash in case of emergency</t>
  </si>
  <si>
    <t>RAIS and Activity Info</t>
  </si>
  <si>
    <t>Ad Hoc</t>
  </si>
  <si>
    <t>List Activities under this output 2.1</t>
  </si>
  <si>
    <t xml:space="preserve">Activity 4: Prepositioning of cash cards to be distributed in case of emergency </t>
  </si>
  <si>
    <r>
      <rPr>
        <b/>
        <sz val="18"/>
        <rFont val="Calibri"/>
        <family val="2"/>
        <scheme val="minor"/>
      </rPr>
      <t xml:space="preserve">OUTPUT 2.2: </t>
    </r>
    <r>
      <rPr>
        <b/>
        <sz val="18"/>
        <color theme="4" tint="-0.249977111117893"/>
        <rFont val="Calibri"/>
        <family val="2"/>
        <scheme val="minor"/>
      </rPr>
      <t>P</t>
    </r>
    <r>
      <rPr>
        <b/>
        <sz val="18"/>
        <color theme="8"/>
        <rFont val="Calibri"/>
        <family val="2"/>
        <scheme val="minor"/>
      </rPr>
      <t>opulations affected by seasonal hazards and emergencies are supported with in-kind assistance</t>
    </r>
  </si>
  <si>
    <t>List below indicators used to measure Output 2.2</t>
  </si>
  <si>
    <t>List Activities under this output 2.2</t>
  </si>
  <si>
    <t># of households receiving emergency in-kind assistance</t>
  </si>
  <si>
    <t>Populations affected by seasonal hazards supported with in-kind assistance</t>
  </si>
  <si>
    <t>Populations affected by emergencies supported with in-kind assistance</t>
  </si>
  <si>
    <t>% of assisted  severely economically vulnerable households report being able to meet their basic survival needs</t>
  </si>
  <si>
    <t>List below indicators used to measure Output 3.1</t>
  </si>
  <si>
    <t>List below indicators used to evaluate the impact of programmes under outcome 1 i.e. measure Outcome 3</t>
  </si>
  <si>
    <t>MoSA / NPTP</t>
  </si>
  <si>
    <t>TBD</t>
  </si>
  <si>
    <t>List Activities under this output 3.1</t>
  </si>
  <si>
    <t># of staff trained on conducting vulnerability assessments</t>
  </si>
  <si>
    <t xml:space="preserve">Activity Info, NPTP Reports </t>
  </si>
  <si>
    <t>quarterly</t>
  </si>
  <si>
    <t>Activity 1: conduct trainings for NPTP / MoSA staff</t>
  </si>
  <si>
    <t>Trainings conducted on enhanced vulnerability assessments</t>
  </si>
  <si>
    <t>Activity 2: conduct a joint study on the impact of cash</t>
  </si>
  <si>
    <t>N/A</t>
  </si>
  <si>
    <t>twice a year (biannual)</t>
  </si>
  <si>
    <t>RAIS (household profiling) 
NPTP
UNRWA</t>
  </si>
  <si>
    <r>
      <rPr>
        <b/>
        <sz val="20"/>
        <rFont val="Calibri"/>
        <family val="2"/>
        <scheme val="minor"/>
      </rPr>
      <t>OUTCOME 2:</t>
    </r>
    <r>
      <rPr>
        <b/>
        <sz val="18"/>
        <color theme="8"/>
        <rFont val="Calibri"/>
        <family val="2"/>
        <scheme val="minor"/>
      </rPr>
      <t xml:space="preserve"> Populations affected by seasonal hazards and emergencies are able to secure additional basic survival needs</t>
    </r>
  </si>
  <si>
    <t xml:space="preserve">Increased knowledge on vulnerability assessments and targeting among NPTP social workers </t>
  </si>
  <si>
    <t>Trained social workers demonstrate increased knowledge</t>
  </si>
  <si>
    <t>C</t>
  </si>
  <si>
    <t>No</t>
  </si>
  <si>
    <t>Yes</t>
  </si>
  <si>
    <t>Persons (Staff)</t>
  </si>
  <si>
    <t>MoSA, UNHCR</t>
  </si>
  <si>
    <t>MOSA</t>
  </si>
  <si>
    <t>Outcome 2: Populations affected by seasonal hazards and emergencies are able to secure additional basic survival needs</t>
  </si>
  <si>
    <t xml:space="preserve">OUTPUT 2.1: Populations affected by seasonal hazards and emergencies assisted </t>
  </si>
  <si>
    <t>OUTPUT 2.2: Populations affected by seasonal hazards and emergencies are supported with in-kind assistance</t>
  </si>
  <si>
    <t>Outcome 3: Strengthen existing social safety net structures of NPTP</t>
  </si>
  <si>
    <t xml:space="preserve">OUTPUT 3.1: Enhanced capacity of NPTP to provide assistance </t>
  </si>
  <si>
    <r>
      <rPr>
        <b/>
        <sz val="18"/>
        <rFont val="Calibri"/>
        <family val="2"/>
        <scheme val="minor"/>
      </rPr>
      <t>OUTPUT 3.1:</t>
    </r>
    <r>
      <rPr>
        <b/>
        <sz val="18"/>
        <color theme="8"/>
        <rFont val="Calibri"/>
        <family val="2"/>
        <scheme val="minor"/>
      </rPr>
      <t xml:space="preserve">  Enhanced capacity of NPTP to provide social assistance </t>
    </r>
  </si>
  <si>
    <t>National Social Safety Net Strategy in place</t>
  </si>
  <si>
    <t xml:space="preserve">Strategy outlining the long-term vision of the social safety net system </t>
  </si>
  <si>
    <t>strategy</t>
  </si>
  <si>
    <t>Acrivity 3: conduct a capacity assessment of NPTP social workers and develop a capacity development plan</t>
  </si>
  <si>
    <t>Activity 4: conduct an assessmet of the social safety net system from a child and gender persepective</t>
  </si>
  <si>
    <t xml:space="preserve">Activity 5: support the development of a National Social Safety Net Strategy </t>
  </si>
  <si>
    <t>Activity 2:  Distribute of cash assisstance to households highly vulnerable to seasonal/winter shocks</t>
  </si>
  <si>
    <t>Activity 1: Identification and verification of eligible households (those hihgly vulnerable to seasonal/winter shocks)</t>
  </si>
  <si>
    <t>Activity 3: Monitoring and evaluation of cash assisstance to household highly vulnerable to seasonal/winter shocks</t>
  </si>
  <si>
    <t>Activity 5: Update the contingency plan</t>
  </si>
  <si>
    <t># of affected households receiving in-kind winter assistance</t>
  </si>
  <si>
    <t>Activity 2:  Distribute of in-kind assisstance to households highly vulnerable to seasonal/winter shocks</t>
  </si>
  <si>
    <t>Activity 4: Provide in-kind assistance for populations affected by emergencies</t>
  </si>
  <si>
    <t>Activity 5: Maintain core relief item contingency in-kind  stock</t>
  </si>
  <si>
    <t>Activity 3: Monitoring and evaluation of in-kind assisstance to household highly vulnerable to seasonal/winter shocks</t>
  </si>
  <si>
    <t># of socio-economically vulnerbale HHs assisted</t>
  </si>
  <si>
    <t>Activity 1. Revise and update the desk formula for targeting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</si>
  <si>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</si>
  <si>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</si>
  <si>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>Activity 5. Present research and increase learning opportunities on multi purpose/sector cash programming (debt, impact of cash, assistance packages, etc...)</t>
  </si>
  <si>
    <t xml:space="preserve">Activity 6. Contingency plan developed and updated </t>
  </si>
  <si>
    <t>numberator: # of households receiving seasonal and emergency assistance who were able to meet their additional needs
denominator: # population found to be seasonally vulnerable and assisted</t>
  </si>
  <si>
    <t>% of  vulnerable household  provided seasonal assistance (disaggregated by age/gender)</t>
  </si>
  <si>
    <t xml:space="preserve">numerator: # of vulnerable households receiving seasonal assistance
denominator: # population found to be seasonally vulnerable 
Syr: desk formula
Vulnerable Lebanese: NPTP criteria
PRS + PRL: blanket approach
Leb Ret IOM vulnerbaility criteria
</t>
  </si>
  <si>
    <t>% of assisted  households affected by seasonal shocks who are able to meet their additional basic survival needs</t>
  </si>
  <si>
    <t>%  newly displaced households who are provided basic assistance</t>
  </si>
  <si>
    <t>numerator: # newly displaced households assisted
denominator: # households newly displaced</t>
  </si>
  <si>
    <t xml:space="preserve">RNA, field offices to estimate newly displaced. 
ActivityInfo, RAIS, Emergency response for assistance. </t>
  </si>
  <si>
    <t>ActivityInfo, RAIS (incl. UNICEF 40$), UNRWA, NPTP,
(Economic vulnerability and exposure to col) 
Vulnerable Lebanese: NPTP criteria
PRS: UNRWA vulnerability criteria (Blanket Approach)
PRL: safety nets cases above 500m
Leb Ret IOM vulnerbaility criteria</t>
  </si>
  <si>
    <t>Seasonal</t>
  </si>
  <si>
    <t xml:space="preserve">Monthly (during winter) </t>
  </si>
  <si>
    <t>Activity 7: Winter clothing kits for children</t>
  </si>
  <si>
    <r>
      <t xml:space="preserve">NPTP / </t>
    </r>
    <r>
      <rPr>
        <b/>
        <sz val="11"/>
        <rFont val="Calibri"/>
        <family val="2"/>
        <scheme val="minor"/>
      </rPr>
      <t xml:space="preserve">pre-post assessments </t>
    </r>
  </si>
  <si>
    <t>Activity 6: Development of  training curriculum for SWs/staff (Y/N)</t>
  </si>
  <si>
    <t>Endorsed by BA Core Group</t>
  </si>
  <si>
    <r>
      <t xml:space="preserve">Economic vulnerability measured based on declared expenditure through a representative sample. i.e. if total expenditure is below the survival minimum expenditure basket then household is severly economically vulnerable. 
</t>
    </r>
    <r>
      <rPr>
        <b/>
        <sz val="11"/>
        <rFont val="Calibri"/>
        <family val="2"/>
        <scheme val="minor"/>
      </rPr>
      <t>Assessments</t>
    </r>
    <r>
      <rPr>
        <sz val="11"/>
        <rFont val="Calibri"/>
        <family val="2"/>
        <scheme val="minor"/>
      </rPr>
      <t xml:space="preserve">
Syrians: VASYR
</t>
    </r>
    <r>
      <rPr>
        <sz val="11"/>
        <color theme="1"/>
        <rFont val="Calibri"/>
        <family val="2"/>
        <scheme val="minor"/>
      </rPr>
      <t>Lebanese : Existing offical poverty figures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Palestinians: UNRWA vulnerability assessment</t>
    </r>
  </si>
  <si>
    <t xml:space="preserve">Impact studies and PDMs for all population cohorts. 
Rational behind Targets: Basic Assistance Sector contributes to 40% of the SMEB value through the $175 cash grant. Food contributes to 31% of SMEB. Currently 90% of cash recepients also receive food.
</t>
  </si>
  <si>
    <t># of socio-economically vulnerable households assisted</t>
  </si>
  <si>
    <t xml:space="preserve">A </t>
  </si>
  <si>
    <t>ad-hoc</t>
  </si>
  <si>
    <t>seasonaly</t>
  </si>
  <si>
    <t xml:space="preserve">PDM, outcome monitoring </t>
  </si>
  <si>
    <r>
      <t xml:space="preserve">RAIS (including unicef assistance $40) and Activity Info             </t>
    </r>
    <r>
      <rPr>
        <sz val="11"/>
        <color rgb="FFFF0000"/>
        <rFont val="Calibri"/>
        <family val="2"/>
        <scheme val="minor"/>
      </rPr>
      <t xml:space="preserve">NPTP database
</t>
    </r>
    <r>
      <rPr>
        <sz val="11"/>
        <rFont val="Calibri"/>
        <family val="2"/>
        <scheme val="minor"/>
      </rPr>
      <t>(Economic vulnerability and exposure to col) 
Vulnerable Lebanese: NPTP criteria
PRS: UNRWA vulnerability criteria (Blanket Approach)
PRL: safety nets cases above 500m
Leb Ret IOM vulnerbaility criteria</t>
    </r>
  </si>
  <si>
    <t xml:space="preserve"> # of vulnerable households receiving seasonal cash assistance</t>
  </si>
  <si>
    <t xml:space="preserve"> # of vulnerable households receiving seasonal cash assistance
Syr: desk formula
Vulnerable Lebanese: NPTP criteria
PRS + PRL: blanket approach
Leb Ret IOM vulnerbaility criteria</t>
  </si>
  <si>
    <r>
      <rPr>
        <b/>
        <sz val="18"/>
        <rFont val="Calibri"/>
        <family val="2"/>
        <scheme val="minor"/>
      </rPr>
      <t>OUTPUT 2.1:</t>
    </r>
    <r>
      <rPr>
        <b/>
        <sz val="18"/>
        <color theme="8"/>
        <rFont val="Calibri"/>
        <family val="2"/>
        <scheme val="minor"/>
      </rPr>
      <t xml:space="preserve"> Populations affected by seasonal hazards and emergencies assisted with cash grants</t>
    </r>
  </si>
  <si>
    <t>Basic Assistance: Total budget (USD)</t>
  </si>
  <si>
    <t>Basic Assistance</t>
  </si>
  <si>
    <t>Population Cohorts</t>
  </si>
  <si>
    <t>Total Population</t>
  </si>
  <si>
    <t>Total Population in Need</t>
  </si>
  <si>
    <t>Total Population Targeted</t>
  </si>
  <si>
    <t># Female</t>
  </si>
  <si>
    <t>% Female*</t>
  </si>
  <si>
    <t># Male</t>
  </si>
  <si>
    <t>% Male*</t>
  </si>
  <si>
    <t># Children
 (0-17)</t>
  </si>
  <si>
    <t>% Children*</t>
  </si>
  <si>
    <t># Adolescent
 (10-17)</t>
  </si>
  <si>
    <t>% Adolescent*
 (10-17)</t>
  </si>
  <si>
    <t># Youth (18-24)</t>
  </si>
  <si>
    <t>% Youth*
 (18-24)</t>
  </si>
  <si>
    <t xml:space="preserve">Lebanese </t>
  </si>
  <si>
    <t>Displaced Syrian</t>
  </si>
  <si>
    <t>Palestine Refugee from Syria (PRS)</t>
  </si>
  <si>
    <t>Palestine Refugee in Lebanon  (PRL)</t>
  </si>
  <si>
    <t>GRAND TOTAL</t>
  </si>
  <si>
    <t xml:space="preserve">Type of institution </t>
  </si>
  <si>
    <t>Total</t>
  </si>
  <si>
    <t>Targeted</t>
  </si>
  <si>
    <t>* % of Female, Male, Children, Adolescent, Youth to be used if you do not have specific Sex Age Disaggregated Target for your sector</t>
  </si>
  <si>
    <t>Municipality</t>
  </si>
  <si>
    <t>Hospitals</t>
  </si>
  <si>
    <t>Schools</t>
  </si>
  <si>
    <t>Water establishments</t>
  </si>
  <si>
    <t>Social Development Centers</t>
  </si>
  <si>
    <t>Central Ministries</t>
  </si>
  <si>
    <t># of economic vulnerable households discontinued from cash assistance</t>
  </si>
  <si>
    <r>
      <t xml:space="preserve">Households discontinued for one or more reasons including proven welfare status. 
</t>
    </r>
    <r>
      <rPr>
        <b/>
        <sz val="11"/>
        <rFont val="Calibri"/>
        <family val="2"/>
        <scheme val="minor"/>
      </rPr>
      <t xml:space="preserve">Identification: </t>
    </r>
    <r>
      <rPr>
        <sz val="11"/>
        <rFont val="Calibri"/>
        <family val="2"/>
        <scheme val="minor"/>
      </rPr>
      <t xml:space="preserve">through existing profiling exercises. </t>
    </r>
  </si>
  <si>
    <t xml:space="preserve">Activity 4. impact study on discontinuation </t>
  </si>
  <si>
    <t xml:space="preserve">Khalil Dagher (dagherk@unhcr.org) ; Hadi Haddad (hadi_haddad@live.com) </t>
  </si>
  <si>
    <t xml:space="preserve">OUTPUT 1.1:  Increase provision of multipurpose cash grants to the additional socio-economically vulnerable households </t>
  </si>
  <si>
    <t>Outcome 1: The ability of the socio-economically vulnerable population, including female headed households, to meet their basic survival needs is increased</t>
  </si>
  <si>
    <r>
      <rPr>
        <b/>
        <sz val="20"/>
        <rFont val="Calibri"/>
        <family val="2"/>
        <scheme val="minor"/>
      </rPr>
      <t>OUTCOME 1:</t>
    </r>
    <r>
      <rPr>
        <b/>
        <sz val="18"/>
        <color theme="8"/>
        <rFont val="Calibri"/>
        <family val="2"/>
        <scheme val="minor"/>
      </rPr>
      <t xml:space="preserve"> The ability of the socio-economically vulnerable population, including female headed households, to meet their basic survival needs is increased</t>
    </r>
  </si>
  <si>
    <r>
      <rPr>
        <b/>
        <sz val="18"/>
        <rFont val="Calibri"/>
        <family val="2"/>
        <scheme val="minor"/>
      </rPr>
      <t>OUTPUT 1.1:</t>
    </r>
    <r>
      <rPr>
        <b/>
        <sz val="18"/>
        <color theme="8"/>
        <rFont val="Calibri"/>
        <family val="2"/>
        <scheme val="minor"/>
      </rPr>
      <t xml:space="preserve"> Increase provision of multipurpose cash grants to the more socio-economically vulnerable households. </t>
    </r>
  </si>
  <si>
    <r>
      <rPr>
        <b/>
        <sz val="20"/>
        <rFont val="Calibri"/>
        <family val="2"/>
        <scheme val="minor"/>
      </rPr>
      <t>OUTCOME 3:</t>
    </r>
    <r>
      <rPr>
        <b/>
        <sz val="18"/>
        <color theme="8"/>
        <rFont val="Calibri"/>
        <family val="2"/>
        <scheme val="minor"/>
      </rPr>
      <t xml:space="preserve"> National Poverty Targeting Programme (NPTP) Supported and Capacitated </t>
    </r>
  </si>
  <si>
    <t>D</t>
  </si>
  <si>
    <t># of socio-economically vulnerable children (aged 5-15 years) receiving an unconditional cash transfer</t>
  </si>
  <si>
    <t>The number of children (aged 5-15 years) receiving an unconditional cash transfer during the 2016-2017 school year and the 2017-2018 school year</t>
  </si>
  <si>
    <t>Children (aged 5-15)</t>
  </si>
  <si>
    <t>ActivityInfo, RAIS, Min Ila database</t>
  </si>
  <si>
    <t>Activity 6. Registration, distribution and monitoring of the unconditional cash transfer to socio-economically vulnerable children (aged 5-15 years) to decrease economically driven negative coping mechansims</t>
  </si>
  <si>
    <t>children (aged 0-14 years)</t>
  </si>
  <si>
    <t xml:space="preserve"># of vulnerable children (aged 0-14 years) receiving one-off seasonal cash assistance </t>
  </si>
  <si>
    <t># of vulnerable children (aged 0-14 years) receiving one-off cash seasonal assistance</t>
  </si>
  <si>
    <t>Activity 6: Distribution of one-off cash transfer to children (aged 0-14)</t>
  </si>
  <si>
    <t>NPTP</t>
  </si>
  <si>
    <t>Version V.2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</si>
</sst>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name val="Calibri"/>
      <family val="2"/>
      <scheme val="minor"/>
    </font>
    <font>
      <sz val="14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Book Antiqua"/>
      <family val="1"/>
    </font>
    <font>
      <sz val="10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mbria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theme="0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/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0"/>
      </left>
      <right style="thin">
        <color auto="1"/>
      </right>
      <top/>
      <bottom/>
      <diagonal/>
    </border>
    <border>
      <left style="thin">
        <color auto="1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wrapText="1"/>
    </xf>
    <xf numFmtId="0" fontId="9" fillId="0" borderId="2" xfId="2" applyFont="1" applyBorder="1" applyAlignment="1">
      <alignment horizontal="left" vertical="center"/>
    </xf>
    <xf numFmtId="0" fontId="0" fillId="0" borderId="2" xfId="0" applyBorder="1"/>
    <xf numFmtId="0" fontId="9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10" fillId="0" borderId="0" xfId="3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9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20" fillId="0" borderId="0" xfId="2" applyFont="1" applyBorder="1" applyAlignment="1">
      <alignment vertical="center"/>
    </xf>
    <xf numFmtId="0" fontId="0" fillId="0" borderId="0" xfId="0" applyFont="1" applyAlignment="1">
      <alignment wrapText="1"/>
    </xf>
    <xf numFmtId="0" fontId="22" fillId="3" borderId="0" xfId="0" applyFont="1" applyFill="1" applyAlignment="1">
      <alignment horizontal="right"/>
    </xf>
    <xf numFmtId="0" fontId="16" fillId="5" borderId="0" xfId="2" applyFont="1" applyFill="1" applyBorder="1" applyAlignment="1">
      <alignment vertical="center"/>
    </xf>
    <xf numFmtId="0" fontId="21" fillId="5" borderId="5" xfId="2" applyFont="1" applyFill="1" applyBorder="1" applyAlignment="1">
      <alignment vertical="center"/>
    </xf>
    <xf numFmtId="0" fontId="21" fillId="5" borderId="9" xfId="2" applyFont="1" applyFill="1" applyBorder="1" applyAlignment="1">
      <alignment vertical="center"/>
    </xf>
    <xf numFmtId="0" fontId="9" fillId="8" borderId="0" xfId="2" applyFont="1" applyFill="1" applyBorder="1" applyAlignment="1">
      <alignment horizontal="right" vertical="center"/>
    </xf>
    <xf numFmtId="0" fontId="9" fillId="8" borderId="9" xfId="2" applyFont="1" applyFill="1" applyBorder="1" applyAlignment="1">
      <alignment horizontal="right" vertical="center" wrapText="1"/>
    </xf>
    <xf numFmtId="0" fontId="0" fillId="8" borderId="0" xfId="0" applyFill="1" applyBorder="1"/>
    <xf numFmtId="0" fontId="9" fillId="8" borderId="0" xfId="2" applyFont="1" applyFill="1" applyBorder="1" applyAlignment="1">
      <alignment horizontal="right" vertical="center" wrapText="1"/>
    </xf>
    <xf numFmtId="164" fontId="9" fillId="8" borderId="0" xfId="3" applyNumberFormat="1" applyFont="1" applyFill="1" applyBorder="1" applyAlignment="1">
      <alignment vertical="center"/>
    </xf>
    <xf numFmtId="0" fontId="15" fillId="3" borderId="5" xfId="2" applyFont="1" applyFill="1" applyBorder="1" applyAlignment="1">
      <alignment horizontal="right" vertical="center"/>
    </xf>
    <xf numFmtId="164" fontId="15" fillId="3" borderId="5" xfId="3" applyNumberFormat="1" applyFont="1" applyFill="1" applyBorder="1" applyAlignment="1">
      <alignment horizontal="right" vertical="center"/>
    </xf>
    <xf numFmtId="164" fontId="14" fillId="8" borderId="11" xfId="3" applyNumberFormat="1" applyFont="1" applyFill="1" applyBorder="1" applyAlignment="1">
      <alignment vertical="center"/>
    </xf>
    <xf numFmtId="164" fontId="14" fillId="10" borderId="11" xfId="3" applyNumberFormat="1" applyFont="1" applyFill="1" applyBorder="1" applyAlignment="1">
      <alignment horizontal="right" vertical="center"/>
    </xf>
    <xf numFmtId="3" fontId="0" fillId="12" borderId="9" xfId="0" applyNumberFormat="1" applyFill="1" applyBorder="1"/>
    <xf numFmtId="9" fontId="0" fillId="12" borderId="9" xfId="0" applyNumberFormat="1" applyFill="1" applyBorder="1"/>
    <xf numFmtId="9" fontId="0" fillId="12" borderId="9" xfId="1" applyFont="1" applyFill="1" applyBorder="1"/>
    <xf numFmtId="9" fontId="0" fillId="10" borderId="9" xfId="0" applyNumberFormat="1" applyFill="1" applyBorder="1"/>
    <xf numFmtId="0" fontId="1" fillId="5" borderId="5" xfId="0" applyFont="1" applyFill="1" applyBorder="1" applyAlignment="1">
      <alignment horizontal="right"/>
    </xf>
    <xf numFmtId="0" fontId="5" fillId="13" borderId="10" xfId="0" applyFont="1" applyFill="1" applyBorder="1" applyAlignment="1">
      <alignment horizontal="center" vertical="top"/>
    </xf>
    <xf numFmtId="0" fontId="5" fillId="14" borderId="10" xfId="0" applyFont="1" applyFill="1" applyBorder="1" applyAlignment="1">
      <alignment horizontal="center" vertical="top"/>
    </xf>
    <xf numFmtId="0" fontId="5" fillId="14" borderId="10" xfId="0" applyFont="1" applyFill="1" applyBorder="1" applyAlignment="1">
      <alignment horizontal="center" vertical="top" wrapText="1"/>
    </xf>
    <xf numFmtId="0" fontId="17" fillId="12" borderId="6" xfId="0" applyFont="1" applyFill="1" applyBorder="1" applyAlignment="1">
      <alignment vertical="top" wrapText="1"/>
    </xf>
    <xf numFmtId="0" fontId="17" fillId="11" borderId="6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3" fontId="17" fillId="12" borderId="1" xfId="0" applyNumberFormat="1" applyFont="1" applyFill="1" applyBorder="1" applyAlignment="1">
      <alignment vertical="top" wrapText="1"/>
    </xf>
    <xf numFmtId="3" fontId="17" fillId="11" borderId="1" xfId="0" applyNumberFormat="1" applyFont="1" applyFill="1" applyBorder="1" applyAlignment="1">
      <alignment vertical="top" wrapText="1"/>
    </xf>
    <xf numFmtId="0" fontId="5" fillId="16" borderId="10" xfId="0" applyFont="1" applyFill="1" applyBorder="1" applyAlignment="1">
      <alignment horizontal="center" vertical="top"/>
    </xf>
    <xf numFmtId="3" fontId="17" fillId="10" borderId="1" xfId="0" applyNumberFormat="1" applyFont="1" applyFill="1" applyBorder="1" applyAlignment="1">
      <alignment vertical="top" wrapText="1"/>
    </xf>
    <xf numFmtId="0" fontId="17" fillId="10" borderId="6" xfId="0" applyFont="1" applyFill="1" applyBorder="1" applyAlignment="1">
      <alignment vertical="top" wrapText="1"/>
    </xf>
    <xf numFmtId="0" fontId="5" fillId="9" borderId="10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vertical="top" wrapText="1"/>
    </xf>
    <xf numFmtId="3" fontId="17" fillId="3" borderId="1" xfId="0" applyNumberFormat="1" applyFont="1" applyFill="1" applyBorder="1" applyAlignment="1">
      <alignment vertical="top" wrapText="1"/>
    </xf>
    <xf numFmtId="0" fontId="5" fillId="16" borderId="10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center"/>
    </xf>
    <xf numFmtId="3" fontId="0" fillId="12" borderId="1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/>
    <xf numFmtId="0" fontId="0" fillId="0" borderId="0" xfId="0" applyBorder="1" applyAlignment="1">
      <alignment horizontal="center" wrapText="1"/>
    </xf>
    <xf numFmtId="0" fontId="15" fillId="8" borderId="11" xfId="2" applyFont="1" applyFill="1" applyBorder="1" applyAlignment="1">
      <alignment vertical="center"/>
    </xf>
    <xf numFmtId="0" fontId="0" fillId="0" borderId="0" xfId="0" applyBorder="1"/>
    <xf numFmtId="3" fontId="0" fillId="10" borderId="9" xfId="0" applyNumberFormat="1" applyFill="1" applyBorder="1"/>
    <xf numFmtId="0" fontId="1" fillId="5" borderId="15" xfId="0" applyFont="1" applyFill="1" applyBorder="1" applyAlignment="1">
      <alignment horizontal="right"/>
    </xf>
    <xf numFmtId="9" fontId="0" fillId="12" borderId="16" xfId="0" applyNumberFormat="1" applyFill="1" applyBorder="1"/>
    <xf numFmtId="0" fontId="15" fillId="12" borderId="15" xfId="2" applyFont="1" applyFill="1" applyBorder="1" applyAlignment="1">
      <alignment horizontal="right" vertical="center"/>
    </xf>
    <xf numFmtId="164" fontId="18" fillId="12" borderId="14" xfId="3" applyNumberFormat="1" applyFont="1" applyFill="1" applyBorder="1" applyAlignment="1">
      <alignment vertical="center"/>
    </xf>
    <xf numFmtId="9" fontId="18" fillId="12" borderId="14" xfId="1" applyFont="1" applyFill="1" applyBorder="1" applyAlignment="1">
      <alignment vertical="center"/>
    </xf>
    <xf numFmtId="0" fontId="15" fillId="10" borderId="18" xfId="2" applyFont="1" applyFill="1" applyBorder="1" applyAlignment="1">
      <alignment horizontal="right" vertical="center"/>
    </xf>
    <xf numFmtId="9" fontId="18" fillId="10" borderId="17" xfId="1" applyFont="1" applyFill="1" applyBorder="1" applyAlignment="1">
      <alignment vertical="center"/>
    </xf>
    <xf numFmtId="0" fontId="15" fillId="3" borderId="18" xfId="2" applyFont="1" applyFill="1" applyBorder="1" applyAlignment="1">
      <alignment horizontal="right" vertical="center"/>
    </xf>
    <xf numFmtId="0" fontId="22" fillId="3" borderId="17" xfId="0" applyFont="1" applyFill="1" applyBorder="1" applyAlignment="1">
      <alignment horizontal="right"/>
    </xf>
    <xf numFmtId="164" fontId="15" fillId="12" borderId="15" xfId="3" applyNumberFormat="1" applyFont="1" applyFill="1" applyBorder="1" applyAlignment="1">
      <alignment horizontal="right" vertical="center"/>
    </xf>
    <xf numFmtId="164" fontId="14" fillId="12" borderId="19" xfId="3" applyNumberFormat="1" applyFont="1" applyFill="1" applyBorder="1" applyAlignment="1">
      <alignment vertical="center"/>
    </xf>
    <xf numFmtId="164" fontId="9" fillId="12" borderId="14" xfId="3" applyNumberFormat="1" applyFont="1" applyFill="1" applyBorder="1" applyAlignment="1">
      <alignment vertical="center"/>
    </xf>
    <xf numFmtId="164" fontId="15" fillId="10" borderId="18" xfId="3" quotePrefix="1" applyNumberFormat="1" applyFont="1" applyFill="1" applyBorder="1" applyAlignment="1">
      <alignment horizontal="right" vertical="center" wrapText="1"/>
    </xf>
    <xf numFmtId="164" fontId="14" fillId="10" borderId="20" xfId="3" applyNumberFormat="1" applyFont="1" applyFill="1" applyBorder="1" applyAlignment="1">
      <alignment vertical="center"/>
    </xf>
    <xf numFmtId="164" fontId="0" fillId="10" borderId="17" xfId="5" applyNumberFormat="1" applyFont="1" applyFill="1" applyBorder="1"/>
    <xf numFmtId="164" fontId="15" fillId="3" borderId="18" xfId="3" applyNumberFormat="1" applyFont="1" applyFill="1" applyBorder="1" applyAlignment="1">
      <alignment horizontal="right" vertical="center"/>
    </xf>
    <xf numFmtId="164" fontId="14" fillId="10" borderId="20" xfId="3" applyNumberFormat="1" applyFont="1" applyFill="1" applyBorder="1" applyAlignment="1">
      <alignment horizontal="right" vertical="center"/>
    </xf>
    <xf numFmtId="0" fontId="5" fillId="14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vertical="center" wrapText="1"/>
    </xf>
    <xf numFmtId="3" fontId="0" fillId="12" borderId="23" xfId="0" applyNumberFormat="1" applyFont="1" applyFill="1" applyBorder="1" applyAlignment="1">
      <alignment vertical="center" wrapText="1"/>
    </xf>
    <xf numFmtId="0" fontId="5" fillId="14" borderId="25" xfId="0" applyFont="1" applyFill="1" applyBorder="1" applyAlignment="1">
      <alignment horizontal="center" vertical="center"/>
    </xf>
    <xf numFmtId="3" fontId="0" fillId="12" borderId="27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4" borderId="1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Border="1" applyAlignment="1"/>
    <xf numFmtId="0" fontId="5" fillId="4" borderId="13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25" xfId="0" applyFont="1" applyFill="1" applyBorder="1" applyAlignment="1">
      <alignment horizontal="center" vertical="top"/>
    </xf>
    <xf numFmtId="0" fontId="5" fillId="16" borderId="21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6" borderId="25" xfId="0" applyFont="1" applyFill="1" applyBorder="1" applyAlignment="1">
      <alignment horizontal="center" vertical="top" wrapText="1"/>
    </xf>
    <xf numFmtId="0" fontId="26" fillId="15" borderId="12" xfId="0" applyFont="1" applyFill="1" applyBorder="1" applyAlignment="1">
      <alignment horizontal="right" vertical="top"/>
    </xf>
    <xf numFmtId="0" fontId="26" fillId="14" borderId="10" xfId="0" applyFont="1" applyFill="1" applyBorder="1" applyAlignment="1">
      <alignment horizontal="right" vertical="top"/>
    </xf>
    <xf numFmtId="0" fontId="26" fillId="16" borderId="10" xfId="0" applyFont="1" applyFill="1" applyBorder="1" applyAlignment="1">
      <alignment horizontal="right" vertical="top" wrapText="1"/>
    </xf>
    <xf numFmtId="0" fontId="26" fillId="9" borderId="10" xfId="0" applyFont="1" applyFill="1" applyBorder="1" applyAlignment="1">
      <alignment horizontal="right" vertical="top" wrapText="1"/>
    </xf>
    <xf numFmtId="3" fontId="27" fillId="2" borderId="7" xfId="0" applyNumberFormat="1" applyFont="1" applyFill="1" applyBorder="1" applyAlignment="1">
      <alignment horizontal="right" wrapText="1"/>
    </xf>
    <xf numFmtId="3" fontId="27" fillId="12" borderId="6" xfId="0" applyNumberFormat="1" applyFont="1" applyFill="1" applyBorder="1" applyAlignment="1">
      <alignment horizontal="right" wrapText="1"/>
    </xf>
    <xf numFmtId="3" fontId="27" fillId="10" borderId="6" xfId="0" applyNumberFormat="1" applyFont="1" applyFill="1" applyBorder="1" applyAlignment="1">
      <alignment horizontal="right" wrapText="1"/>
    </xf>
    <xf numFmtId="3" fontId="27" fillId="3" borderId="6" xfId="0" applyNumberFormat="1" applyFont="1" applyFill="1" applyBorder="1" applyAlignment="1">
      <alignment horizontal="right" wrapText="1"/>
    </xf>
    <xf numFmtId="9" fontId="27" fillId="2" borderId="4" xfId="1" applyFont="1" applyFill="1" applyBorder="1" applyAlignment="1">
      <alignment horizontal="right" wrapText="1"/>
    </xf>
    <xf numFmtId="9" fontId="27" fillId="12" borderId="1" xfId="1" applyFont="1" applyFill="1" applyBorder="1" applyAlignment="1">
      <alignment horizontal="right" wrapText="1"/>
    </xf>
    <xf numFmtId="9" fontId="27" fillId="10" borderId="1" xfId="1" applyFont="1" applyFill="1" applyBorder="1" applyAlignment="1">
      <alignment horizontal="right" wrapText="1"/>
    </xf>
    <xf numFmtId="3" fontId="27" fillId="3" borderId="1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2" fillId="5" borderId="9" xfId="0" applyFont="1" applyFill="1" applyBorder="1" applyAlignment="1"/>
    <xf numFmtId="0" fontId="12" fillId="5" borderId="9" xfId="0" applyFont="1" applyFill="1" applyBorder="1" applyAlignment="1"/>
    <xf numFmtId="9" fontId="17" fillId="12" borderId="1" xfId="1" applyFont="1" applyFill="1" applyBorder="1" applyAlignment="1">
      <alignment horizontal="right" vertical="top" wrapText="1"/>
    </xf>
    <xf numFmtId="3" fontId="17" fillId="11" borderId="1" xfId="0" applyNumberFormat="1" applyFont="1" applyFill="1" applyBorder="1" applyAlignment="1">
      <alignment horizontal="right" vertical="top" wrapText="1"/>
    </xf>
    <xf numFmtId="3" fontId="17" fillId="12" borderId="1" xfId="0" applyNumberFormat="1" applyFont="1" applyFill="1" applyBorder="1" applyAlignment="1">
      <alignment horizontal="right" vertical="top" wrapText="1"/>
    </xf>
    <xf numFmtId="9" fontId="17" fillId="10" borderId="1" xfId="1" applyFont="1" applyFill="1" applyBorder="1" applyAlignment="1">
      <alignment horizontal="righ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17" fillId="10" borderId="1" xfId="0" applyNumberFormat="1" applyFont="1" applyFill="1" applyBorder="1" applyAlignment="1">
      <alignment horizontal="right" vertical="top" wrapText="1"/>
    </xf>
    <xf numFmtId="10" fontId="17" fillId="7" borderId="26" xfId="0" applyNumberFormat="1" applyFont="1" applyFill="1" applyBorder="1" applyAlignment="1">
      <alignment horizontal="left" vertical="top" wrapText="1"/>
    </xf>
    <xf numFmtId="10" fontId="17" fillId="3" borderId="6" xfId="0" applyNumberFormat="1" applyFont="1" applyFill="1" applyBorder="1" applyAlignment="1">
      <alignment horizontal="left" vertical="top" wrapText="1"/>
    </xf>
    <xf numFmtId="9" fontId="17" fillId="7" borderId="7" xfId="0" applyNumberFormat="1" applyFont="1" applyFill="1" applyBorder="1" applyAlignment="1">
      <alignment horizontal="left" vertical="top" wrapText="1"/>
    </xf>
    <xf numFmtId="0" fontId="17" fillId="7" borderId="27" xfId="0" applyFont="1" applyFill="1" applyBorder="1" applyAlignment="1">
      <alignment horizontal="left" vertical="top" wrapText="1"/>
    </xf>
    <xf numFmtId="9" fontId="17" fillId="12" borderId="1" xfId="0" applyNumberFormat="1" applyFont="1" applyFill="1" applyBorder="1" applyAlignment="1">
      <alignment horizontal="left" vertical="top" wrapText="1"/>
    </xf>
    <xf numFmtId="9" fontId="17" fillId="10" borderId="1" xfId="0" applyNumberFormat="1" applyFont="1" applyFill="1" applyBorder="1" applyAlignment="1">
      <alignment horizontal="left" vertical="top" wrapText="1"/>
    </xf>
    <xf numFmtId="9" fontId="17" fillId="10" borderId="23" xfId="0" applyNumberFormat="1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3" xfId="0" applyFont="1" applyFill="1" applyBorder="1" applyAlignment="1">
      <alignment horizontal="left" vertical="top" wrapText="1"/>
    </xf>
    <xf numFmtId="0" fontId="17" fillId="10" borderId="23" xfId="0" applyFont="1" applyFill="1" applyBorder="1" applyAlignment="1">
      <alignment horizontal="left" vertical="top" wrapText="1"/>
    </xf>
    <xf numFmtId="165" fontId="17" fillId="11" borderId="6" xfId="0" applyNumberFormat="1" applyFont="1" applyFill="1" applyBorder="1" applyAlignment="1">
      <alignment horizontal="left" vertical="top" wrapText="1"/>
    </xf>
    <xf numFmtId="165" fontId="17" fillId="3" borderId="22" xfId="0" applyNumberFormat="1" applyFont="1" applyFill="1" applyBorder="1" applyAlignment="1">
      <alignment horizontal="left" vertical="top" wrapText="1"/>
    </xf>
    <xf numFmtId="164" fontId="0" fillId="0" borderId="0" xfId="5" applyNumberFormat="1" applyFont="1" applyAlignment="1">
      <alignment horizontal="right"/>
    </xf>
    <xf numFmtId="164" fontId="0" fillId="11" borderId="26" xfId="5" applyNumberFormat="1" applyFont="1" applyFill="1" applyBorder="1" applyAlignment="1">
      <alignment vertical="center" wrapText="1"/>
    </xf>
    <xf numFmtId="164" fontId="0" fillId="11" borderId="6" xfId="5" applyNumberFormat="1" applyFont="1" applyFill="1" applyBorder="1" applyAlignment="1">
      <alignment vertical="center" wrapText="1"/>
    </xf>
    <xf numFmtId="164" fontId="0" fillId="11" borderId="22" xfId="5" applyNumberFormat="1" applyFont="1" applyFill="1" applyBorder="1" applyAlignment="1">
      <alignment vertical="center" wrapText="1"/>
    </xf>
    <xf numFmtId="164" fontId="0" fillId="12" borderId="27" xfId="5" applyNumberFormat="1" applyFont="1" applyFill="1" applyBorder="1" applyAlignment="1">
      <alignment vertical="center" wrapText="1"/>
    </xf>
    <xf numFmtId="164" fontId="0" fillId="12" borderId="1" xfId="5" applyNumberFormat="1" applyFont="1" applyFill="1" applyBorder="1" applyAlignment="1">
      <alignment vertical="center" wrapText="1"/>
    </xf>
    <xf numFmtId="164" fontId="0" fillId="12" borderId="23" xfId="5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/>
    <xf numFmtId="0" fontId="17" fillId="12" borderId="6" xfId="0" applyFont="1" applyFill="1" applyBorder="1" applyAlignment="1">
      <alignment horizontal="right" vertical="top" wrapText="1"/>
    </xf>
    <xf numFmtId="3" fontId="17" fillId="11" borderId="6" xfId="0" applyNumberFormat="1" applyFont="1" applyFill="1" applyBorder="1" applyAlignment="1">
      <alignment horizontal="right" vertical="top" wrapText="1"/>
    </xf>
    <xf numFmtId="0" fontId="17" fillId="3" borderId="6" xfId="0" applyFont="1" applyFill="1" applyBorder="1" applyAlignment="1">
      <alignment horizontal="right" vertical="top" wrapText="1"/>
    </xf>
    <xf numFmtId="0" fontId="17" fillId="10" borderId="6" xfId="0" applyFont="1" applyFill="1" applyBorder="1" applyAlignment="1">
      <alignment horizontal="right" vertical="top" wrapText="1"/>
    </xf>
    <xf numFmtId="3" fontId="17" fillId="3" borderId="6" xfId="0" applyNumberFormat="1" applyFont="1" applyFill="1" applyBorder="1" applyAlignment="1">
      <alignment horizontal="right" vertical="top" wrapText="1"/>
    </xf>
    <xf numFmtId="9" fontId="6" fillId="0" borderId="0" xfId="1" applyFont="1" applyFill="1" applyBorder="1" applyAlignment="1">
      <alignment horizontal="left" wrapText="1"/>
    </xf>
    <xf numFmtId="164" fontId="0" fillId="11" borderId="26" xfId="5" applyNumberFormat="1" applyFont="1" applyFill="1" applyBorder="1" applyAlignment="1">
      <alignment horizontal="right" vertical="center" wrapText="1"/>
    </xf>
    <xf numFmtId="164" fontId="0" fillId="11" borderId="6" xfId="5" applyNumberFormat="1" applyFont="1" applyFill="1" applyBorder="1" applyAlignment="1">
      <alignment horizontal="right" vertical="center" wrapText="1"/>
    </xf>
    <xf numFmtId="164" fontId="0" fillId="11" borderId="22" xfId="5" applyNumberFormat="1" applyFont="1" applyFill="1" applyBorder="1" applyAlignment="1">
      <alignment horizontal="right" vertical="center" wrapText="1"/>
    </xf>
    <xf numFmtId="9" fontId="0" fillId="12" borderId="27" xfId="1" applyFont="1" applyFill="1" applyBorder="1" applyAlignment="1">
      <alignment horizontal="right" vertical="center" wrapText="1"/>
    </xf>
    <xf numFmtId="164" fontId="0" fillId="12" borderId="1" xfId="5" applyNumberFormat="1" applyFont="1" applyFill="1" applyBorder="1" applyAlignment="1">
      <alignment horizontal="right" vertical="center" wrapText="1"/>
    </xf>
    <xf numFmtId="164" fontId="0" fillId="12" borderId="23" xfId="5" applyNumberFormat="1" applyFont="1" applyFill="1" applyBorder="1" applyAlignment="1">
      <alignment horizontal="right" vertical="center" wrapText="1"/>
    </xf>
    <xf numFmtId="164" fontId="0" fillId="12" borderId="27" xfId="5" applyNumberFormat="1" applyFont="1" applyFill="1" applyBorder="1" applyAlignment="1">
      <alignment horizontal="right" vertical="center" wrapText="1"/>
    </xf>
    <xf numFmtId="9" fontId="17" fillId="7" borderId="27" xfId="0" applyNumberFormat="1" applyFont="1" applyFill="1" applyBorder="1" applyAlignment="1">
      <alignment horizontal="right" vertical="top" wrapText="1"/>
    </xf>
    <xf numFmtId="10" fontId="17" fillId="7" borderId="26" xfId="0" applyNumberFormat="1" applyFont="1" applyFill="1" applyBorder="1" applyAlignment="1">
      <alignment horizontal="right" vertical="top" wrapText="1"/>
    </xf>
    <xf numFmtId="9" fontId="17" fillId="12" borderId="1" xfId="0" applyNumberFormat="1" applyFont="1" applyFill="1" applyBorder="1" applyAlignment="1">
      <alignment horizontal="right" vertical="top" wrapText="1"/>
    </xf>
    <xf numFmtId="9" fontId="17" fillId="10" borderId="1" xfId="0" applyNumberFormat="1" applyFont="1" applyFill="1" applyBorder="1" applyAlignment="1">
      <alignment horizontal="right" vertical="top" wrapText="1"/>
    </xf>
    <xf numFmtId="9" fontId="17" fillId="10" borderId="23" xfId="0" applyNumberFormat="1" applyFont="1" applyFill="1" applyBorder="1" applyAlignment="1">
      <alignment horizontal="right" vertical="top" wrapText="1"/>
    </xf>
    <xf numFmtId="9" fontId="17" fillId="7" borderId="4" xfId="0" applyNumberFormat="1" applyFont="1" applyFill="1" applyBorder="1" applyAlignment="1">
      <alignment horizontal="right" vertical="top" wrapText="1"/>
    </xf>
    <xf numFmtId="9" fontId="17" fillId="10" borderId="3" xfId="0" applyNumberFormat="1" applyFont="1" applyFill="1" applyBorder="1" applyAlignment="1">
      <alignment horizontal="right" vertical="top" wrapText="1"/>
    </xf>
    <xf numFmtId="0" fontId="17" fillId="12" borderId="1" xfId="0" applyFont="1" applyFill="1" applyBorder="1" applyAlignment="1">
      <alignment horizontal="right" vertical="top" wrapText="1"/>
    </xf>
    <xf numFmtId="0" fontId="17" fillId="10" borderId="1" xfId="0" applyFont="1" applyFill="1" applyBorder="1" applyAlignment="1">
      <alignment horizontal="right" vertical="top" wrapText="1"/>
    </xf>
    <xf numFmtId="0" fontId="17" fillId="10" borderId="23" xfId="0" applyFont="1" applyFill="1" applyBorder="1" applyAlignment="1">
      <alignment horizontal="right" vertical="top" wrapText="1"/>
    </xf>
    <xf numFmtId="0" fontId="17" fillId="11" borderId="6" xfId="0" applyFont="1" applyFill="1" applyBorder="1" applyAlignment="1">
      <alignment horizontal="right" vertical="top" wrapText="1"/>
    </xf>
    <xf numFmtId="0" fontId="17" fillId="3" borderId="22" xfId="0" applyFont="1" applyFill="1" applyBorder="1" applyAlignment="1">
      <alignment horizontal="right" vertical="top" wrapText="1"/>
    </xf>
    <xf numFmtId="0" fontId="17" fillId="7" borderId="7" xfId="0" applyFont="1" applyFill="1" applyBorder="1" applyAlignment="1">
      <alignment horizontal="right" vertical="top" wrapText="1"/>
    </xf>
    <xf numFmtId="0" fontId="17" fillId="3" borderId="8" xfId="0" applyFont="1" applyFill="1" applyBorder="1" applyAlignment="1">
      <alignment horizontal="right" vertical="top" wrapText="1"/>
    </xf>
    <xf numFmtId="0" fontId="17" fillId="7" borderId="26" xfId="0" applyFont="1" applyFill="1" applyBorder="1" applyAlignment="1">
      <alignment horizontal="right" vertical="top" wrapText="1"/>
    </xf>
    <xf numFmtId="9" fontId="17" fillId="11" borderId="6" xfId="0" applyNumberFormat="1" applyFont="1" applyFill="1" applyBorder="1" applyAlignment="1">
      <alignment horizontal="right" vertical="top" wrapText="1"/>
    </xf>
    <xf numFmtId="9" fontId="17" fillId="3" borderId="6" xfId="0" applyNumberFormat="1" applyFont="1" applyFill="1" applyBorder="1" applyAlignment="1">
      <alignment horizontal="right" vertical="top" wrapText="1"/>
    </xf>
    <xf numFmtId="9" fontId="17" fillId="3" borderId="22" xfId="0" applyNumberFormat="1" applyFont="1" applyFill="1" applyBorder="1" applyAlignment="1">
      <alignment horizontal="right" vertical="top" wrapText="1"/>
    </xf>
    <xf numFmtId="9" fontId="17" fillId="11" borderId="6" xfId="1" applyFont="1" applyFill="1" applyBorder="1" applyAlignment="1">
      <alignment horizontal="right" vertical="top" wrapText="1"/>
    </xf>
    <xf numFmtId="9" fontId="17" fillId="3" borderId="6" xfId="1" applyFont="1" applyFill="1" applyBorder="1" applyAlignment="1">
      <alignment horizontal="right" vertical="top" wrapText="1"/>
    </xf>
    <xf numFmtId="9" fontId="17" fillId="3" borderId="22" xfId="1" applyFont="1" applyFill="1" applyBorder="1" applyAlignment="1">
      <alignment horizontal="right" vertical="top" wrapText="1"/>
    </xf>
    <xf numFmtId="0" fontId="17" fillId="7" borderId="27" xfId="0" applyFont="1" applyFill="1" applyBorder="1" applyAlignment="1">
      <alignment horizontal="right" vertical="top" wrapText="1"/>
    </xf>
    <xf numFmtId="0" fontId="17" fillId="7" borderId="4" xfId="0" applyFont="1" applyFill="1" applyBorder="1" applyAlignment="1">
      <alignment horizontal="right" vertical="top" wrapText="1"/>
    </xf>
    <xf numFmtId="0" fontId="17" fillId="10" borderId="3" xfId="0" applyFont="1" applyFill="1" applyBorder="1" applyAlignment="1">
      <alignment horizontal="right" vertical="top" wrapText="1"/>
    </xf>
    <xf numFmtId="164" fontId="17" fillId="12" borderId="1" xfId="5" applyNumberFormat="1" applyFont="1" applyFill="1" applyBorder="1" applyAlignment="1">
      <alignment vertical="top" wrapText="1"/>
    </xf>
    <xf numFmtId="164" fontId="17" fillId="11" borderId="6" xfId="5" applyNumberFormat="1" applyFont="1" applyFill="1" applyBorder="1" applyAlignment="1">
      <alignment vertical="top" wrapText="1"/>
    </xf>
    <xf numFmtId="164" fontId="17" fillId="12" borderId="6" xfId="5" applyNumberFormat="1" applyFont="1" applyFill="1" applyBorder="1" applyAlignment="1">
      <alignment vertical="top" wrapText="1"/>
    </xf>
    <xf numFmtId="164" fontId="33" fillId="8" borderId="0" xfId="3" applyNumberFormat="1" applyFont="1" applyFill="1" applyBorder="1" applyAlignment="1">
      <alignment vertical="center"/>
    </xf>
    <xf numFmtId="164" fontId="33" fillId="12" borderId="14" xfId="3" applyNumberFormat="1" applyFont="1" applyFill="1" applyBorder="1" applyAlignment="1">
      <alignment vertical="center"/>
    </xf>
    <xf numFmtId="0" fontId="9" fillId="8" borderId="5" xfId="2" applyFont="1" applyFill="1" applyBorder="1" applyAlignment="1">
      <alignment horizontal="right" vertical="center"/>
    </xf>
    <xf numFmtId="0" fontId="9" fillId="8" borderId="9" xfId="2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vertical="top" wrapText="1"/>
    </xf>
    <xf numFmtId="0" fontId="17" fillId="18" borderId="1" xfId="0" applyFont="1" applyFill="1" applyBorder="1" applyAlignment="1">
      <alignment vertical="top" wrapText="1"/>
    </xf>
    <xf numFmtId="9" fontId="17" fillId="2" borderId="4" xfId="0" applyNumberFormat="1" applyFont="1" applyFill="1" applyBorder="1" applyAlignment="1">
      <alignment vertical="top" wrapText="1"/>
    </xf>
    <xf numFmtId="9" fontId="17" fillId="3" borderId="1" xfId="1" applyFont="1" applyFill="1" applyBorder="1" applyAlignment="1">
      <alignment horizontal="right" vertical="top" wrapText="1"/>
    </xf>
    <xf numFmtId="9" fontId="17" fillId="11" borderId="1" xfId="1" applyFont="1" applyFill="1" applyBorder="1" applyAlignment="1">
      <alignment horizontal="right" vertical="top" wrapText="1"/>
    </xf>
    <xf numFmtId="0" fontId="17" fillId="2" borderId="4" xfId="0" applyFont="1" applyFill="1" applyBorder="1" applyAlignment="1">
      <alignment horizontal="right" vertical="top" wrapText="1"/>
    </xf>
    <xf numFmtId="164" fontId="17" fillId="0" borderId="6" xfId="5" applyNumberFormat="1" applyFont="1" applyFill="1" applyBorder="1" applyAlignment="1">
      <alignment vertical="top" wrapText="1"/>
    </xf>
    <xf numFmtId="3" fontId="17" fillId="19" borderId="1" xfId="0" applyNumberFormat="1" applyFont="1" applyFill="1" applyBorder="1" applyAlignment="1">
      <alignment vertical="top" wrapText="1"/>
    </xf>
    <xf numFmtId="0" fontId="35" fillId="20" borderId="0" xfId="0" applyFont="1" applyFill="1" applyBorder="1" applyAlignment="1">
      <alignment horizontal="left" wrapText="1"/>
    </xf>
    <xf numFmtId="0" fontId="34" fillId="20" borderId="0" xfId="0" applyFont="1" applyFill="1" applyBorder="1"/>
    <xf numFmtId="9" fontId="17" fillId="0" borderId="6" xfId="0" applyNumberFormat="1" applyFont="1" applyFill="1" applyBorder="1" applyAlignment="1">
      <alignment vertical="top" wrapText="1"/>
    </xf>
    <xf numFmtId="9" fontId="17" fillId="3" borderId="8" xfId="0" applyNumberFormat="1" applyFont="1" applyFill="1" applyBorder="1" applyAlignment="1">
      <alignment horizontal="right" vertical="top" wrapText="1"/>
    </xf>
    <xf numFmtId="9" fontId="17" fillId="12" borderId="1" xfId="1" applyFont="1" applyFill="1" applyBorder="1" applyAlignment="1">
      <alignment vertical="top" wrapText="1"/>
    </xf>
    <xf numFmtId="9" fontId="17" fillId="11" borderId="6" xfId="1" applyFont="1" applyFill="1" applyBorder="1" applyAlignment="1">
      <alignment vertical="top" wrapText="1"/>
    </xf>
    <xf numFmtId="9" fontId="17" fillId="12" borderId="6" xfId="1" applyFont="1" applyFill="1" applyBorder="1" applyAlignment="1">
      <alignment vertical="top" wrapText="1"/>
    </xf>
    <xf numFmtId="9" fontId="17" fillId="10" borderId="1" xfId="1" applyFont="1" applyFill="1" applyBorder="1" applyAlignment="1">
      <alignment vertical="top" wrapText="1"/>
    </xf>
    <xf numFmtId="9" fontId="17" fillId="3" borderId="6" xfId="1" applyFont="1" applyFill="1" applyBorder="1" applyAlignment="1">
      <alignment vertical="top" wrapText="1"/>
    </xf>
    <xf numFmtId="9" fontId="17" fillId="10" borderId="6" xfId="1" applyFont="1" applyFill="1" applyBorder="1" applyAlignment="1">
      <alignment vertical="top" wrapText="1"/>
    </xf>
    <xf numFmtId="9" fontId="17" fillId="10" borderId="6" xfId="1" applyFont="1" applyFill="1" applyBorder="1" applyAlignment="1">
      <alignment horizontal="right" vertical="top" wrapText="1"/>
    </xf>
    <xf numFmtId="9" fontId="17" fillId="0" borderId="6" xfId="1" applyFont="1" applyFill="1" applyBorder="1" applyAlignment="1">
      <alignment vertical="top" wrapText="1"/>
    </xf>
    <xf numFmtId="164" fontId="17" fillId="3" borderId="6" xfId="5" applyNumberFormat="1" applyFont="1" applyFill="1" applyBorder="1" applyAlignment="1">
      <alignment vertical="top" wrapText="1"/>
    </xf>
    <xf numFmtId="0" fontId="14" fillId="8" borderId="0" xfId="2" applyFont="1" applyFill="1" applyBorder="1" applyAlignment="1">
      <alignment horizontal="right" vertical="center"/>
    </xf>
    <xf numFmtId="10" fontId="0" fillId="11" borderId="6" xfId="0" applyNumberFormat="1" applyFont="1" applyFill="1" applyBorder="1" applyAlignment="1">
      <alignment horizontal="left" vertical="top" wrapText="1"/>
    </xf>
    <xf numFmtId="9" fontId="0" fillId="3" borderId="6" xfId="0" applyNumberFormat="1" applyFont="1" applyFill="1" applyBorder="1" applyAlignment="1">
      <alignment horizontal="left" vertical="top" wrapText="1"/>
    </xf>
    <xf numFmtId="10" fontId="0" fillId="3" borderId="8" xfId="0" applyNumberFormat="1" applyFont="1" applyFill="1" applyBorder="1" applyAlignment="1">
      <alignment horizontal="left" vertical="top" wrapText="1"/>
    </xf>
    <xf numFmtId="10" fontId="0" fillId="7" borderId="26" xfId="0" applyNumberFormat="1" applyFont="1" applyFill="1" applyBorder="1" applyAlignment="1">
      <alignment horizontal="left" vertical="top" wrapText="1"/>
    </xf>
    <xf numFmtId="10" fontId="0" fillId="3" borderId="22" xfId="0" applyNumberFormat="1" applyFont="1" applyFill="1" applyBorder="1" applyAlignment="1">
      <alignment horizontal="left" vertical="top" wrapText="1"/>
    </xf>
    <xf numFmtId="9" fontId="0" fillId="11" borderId="6" xfId="0" applyNumberFormat="1" applyFont="1" applyFill="1" applyBorder="1" applyAlignment="1">
      <alignment horizontal="left" vertical="top" wrapText="1"/>
    </xf>
    <xf numFmtId="9" fontId="0" fillId="3" borderId="22" xfId="0" applyNumberFormat="1" applyFont="1" applyFill="1" applyBorder="1" applyAlignment="1">
      <alignment horizontal="left" vertical="top" wrapText="1"/>
    </xf>
    <xf numFmtId="164" fontId="17" fillId="18" borderId="1" xfId="5" applyNumberFormat="1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right" vertical="top" wrapText="1"/>
    </xf>
    <xf numFmtId="0" fontId="5" fillId="7" borderId="27" xfId="0" applyFont="1" applyFill="1" applyBorder="1" applyAlignment="1">
      <alignment horizontal="right" vertical="top" wrapText="1"/>
    </xf>
    <xf numFmtId="0" fontId="5" fillId="12" borderId="1" xfId="0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horizontal="right" vertical="top" wrapText="1"/>
    </xf>
    <xf numFmtId="0" fontId="5" fillId="10" borderId="23" xfId="0" applyFont="1" applyFill="1" applyBorder="1" applyAlignment="1">
      <alignment horizontal="right" vertical="top" wrapText="1"/>
    </xf>
    <xf numFmtId="9" fontId="36" fillId="12" borderId="1" xfId="1" applyFont="1" applyFill="1" applyBorder="1" applyAlignment="1">
      <alignment horizontal="right" wrapText="1"/>
    </xf>
    <xf numFmtId="9" fontId="36" fillId="10" borderId="1" xfId="1" applyFont="1" applyFill="1" applyBorder="1" applyAlignment="1">
      <alignment horizontal="right" wrapText="1"/>
    </xf>
    <xf numFmtId="9" fontId="0" fillId="0" borderId="0" xfId="1" applyFont="1" applyBorder="1"/>
    <xf numFmtId="164" fontId="18" fillId="10" borderId="17" xfId="3" applyNumberFormat="1" applyFont="1" applyFill="1" applyBorder="1" applyAlignment="1">
      <alignment vertical="center"/>
    </xf>
    <xf numFmtId="164" fontId="37" fillId="5" borderId="1" xfId="5" applyNumberFormat="1" applyFont="1" applyFill="1" applyBorder="1" applyAlignment="1" applyProtection="1">
      <alignment horizontal="center" vertical="center" wrapText="1"/>
    </xf>
    <xf numFmtId="0" fontId="37" fillId="5" borderId="1" xfId="2" applyNumberFormat="1" applyFont="1" applyFill="1" applyBorder="1" applyAlignment="1" applyProtection="1">
      <alignment horizontal="center" vertical="center" wrapText="1"/>
    </xf>
    <xf numFmtId="17" fontId="37" fillId="5" borderId="1" xfId="2" applyNumberFormat="1" applyFont="1" applyFill="1" applyBorder="1" applyAlignment="1" applyProtection="1">
      <alignment horizontal="center" vertical="center" wrapText="1"/>
    </xf>
    <xf numFmtId="165" fontId="37" fillId="5" borderId="1" xfId="1" applyNumberFormat="1" applyFont="1" applyFill="1" applyBorder="1" applyAlignment="1" applyProtection="1">
      <alignment horizontal="center" vertical="center" wrapText="1"/>
    </xf>
    <xf numFmtId="0" fontId="38" fillId="0" borderId="3" xfId="2" applyFont="1" applyFill="1" applyBorder="1" applyAlignment="1" applyProtection="1">
      <alignment vertical="center" wrapText="1"/>
    </xf>
    <xf numFmtId="3" fontId="39" fillId="18" borderId="1" xfId="0" applyNumberFormat="1" applyFont="1" applyFill="1" applyBorder="1" applyAlignment="1" applyProtection="1">
      <alignment horizontal="center" vertical="center"/>
    </xf>
    <xf numFmtId="0" fontId="38" fillId="0" borderId="4" xfId="2" applyFont="1" applyFill="1" applyBorder="1" applyAlignment="1" applyProtection="1">
      <alignment vertical="center" wrapText="1"/>
      <protection locked="0"/>
    </xf>
    <xf numFmtId="0" fontId="38" fillId="0" borderId="1" xfId="2" applyFont="1" applyFill="1" applyBorder="1" applyAlignment="1" applyProtection="1">
      <alignment vertical="center" wrapText="1"/>
      <protection locked="0"/>
    </xf>
    <xf numFmtId="164" fontId="38" fillId="0" borderId="1" xfId="5" applyNumberFormat="1" applyFont="1" applyFill="1" applyBorder="1" applyAlignment="1" applyProtection="1">
      <alignment vertical="center" wrapText="1"/>
      <protection locked="0"/>
    </xf>
    <xf numFmtId="165" fontId="38" fillId="0" borderId="1" xfId="1" applyNumberFormat="1" applyFont="1" applyFill="1" applyBorder="1" applyAlignment="1" applyProtection="1">
      <alignment vertical="center" wrapText="1"/>
    </xf>
    <xf numFmtId="165" fontId="38" fillId="18" borderId="1" xfId="5" applyNumberFormat="1" applyFont="1" applyFill="1" applyBorder="1" applyAlignment="1" applyProtection="1">
      <alignment vertical="center" wrapText="1"/>
    </xf>
    <xf numFmtId="164" fontId="38" fillId="0" borderId="1" xfId="3" applyNumberFormat="1" applyFont="1" applyFill="1" applyBorder="1" applyAlignment="1" applyProtection="1">
      <alignment vertical="center" wrapText="1"/>
      <protection locked="0"/>
    </xf>
    <xf numFmtId="165" fontId="38" fillId="18" borderId="1" xfId="1" applyNumberFormat="1" applyFont="1" applyFill="1" applyBorder="1" applyAlignment="1" applyProtection="1">
      <alignment vertical="center" wrapText="1"/>
    </xf>
    <xf numFmtId="165" fontId="38" fillId="0" borderId="1" xfId="1" applyNumberFormat="1" applyFont="1" applyFill="1" applyBorder="1" applyAlignment="1" applyProtection="1">
      <alignment vertical="center" wrapText="1"/>
      <protection locked="0"/>
    </xf>
    <xf numFmtId="165" fontId="38" fillId="18" borderId="1" xfId="1" applyNumberFormat="1" applyFont="1" applyFill="1" applyBorder="1" applyAlignment="1" applyProtection="1">
      <alignment vertical="center" wrapText="1"/>
      <protection locked="0"/>
    </xf>
    <xf numFmtId="9" fontId="38" fillId="0" borderId="1" xfId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18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18" borderId="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22" borderId="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ill="1"/>
    <xf numFmtId="0" fontId="4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9" fontId="0" fillId="11" borderId="26" xfId="1" applyFont="1" applyFill="1" applyBorder="1" applyAlignment="1">
      <alignment vertical="center" wrapText="1"/>
    </xf>
    <xf numFmtId="9" fontId="0" fillId="11" borderId="6" xfId="1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7" fillId="2" borderId="4" xfId="0" applyNumberFormat="1" applyFont="1" applyFill="1" applyBorder="1" applyAlignment="1">
      <alignment horizontal="right" vertical="top" wrapText="1"/>
    </xf>
    <xf numFmtId="9" fontId="17" fillId="2" borderId="4" xfId="0" applyNumberFormat="1" applyFont="1" applyFill="1" applyBorder="1" applyAlignment="1">
      <alignment horizontal="right" vertical="top" wrapText="1"/>
    </xf>
    <xf numFmtId="3" fontId="17" fillId="12" borderId="6" xfId="0" applyNumberFormat="1" applyFont="1" applyFill="1" applyBorder="1" applyAlignment="1">
      <alignment vertical="top" wrapText="1"/>
    </xf>
    <xf numFmtId="3" fontId="17" fillId="11" borderId="6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vertical="center"/>
    </xf>
    <xf numFmtId="0" fontId="16" fillId="5" borderId="5" xfId="2" applyFont="1" applyFill="1" applyBorder="1" applyAlignment="1">
      <alignment vertical="center"/>
    </xf>
    <xf numFmtId="164" fontId="16" fillId="5" borderId="8" xfId="3" applyNumberFormat="1" applyFont="1" applyFill="1" applyBorder="1" applyAlignment="1">
      <alignment vertical="center"/>
    </xf>
    <xf numFmtId="164" fontId="16" fillId="5" borderId="5" xfId="3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0" fontId="1" fillId="8" borderId="5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8" borderId="9" xfId="0" applyFill="1" applyBorder="1" applyAlignment="1">
      <alignment horizontal="right" wrapText="1"/>
    </xf>
    <xf numFmtId="0" fontId="17" fillId="12" borderId="0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5" fillId="5" borderId="2" xfId="2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17" borderId="24" xfId="0" applyFont="1" applyFill="1" applyBorder="1" applyAlignment="1">
      <alignment horizontal="center" vertical="center"/>
    </xf>
    <xf numFmtId="0" fontId="12" fillId="17" borderId="9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24" fillId="16" borderId="3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4" fillId="16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3" fontId="27" fillId="3" borderId="6" xfId="0" applyNumberFormat="1" applyFont="1" applyFill="1" applyBorder="1" applyAlignment="1">
      <alignment horizontal="center" wrapText="1"/>
    </xf>
    <xf numFmtId="3" fontId="27" fillId="3" borderId="8" xfId="0" applyNumberFormat="1" applyFont="1" applyFill="1" applyBorder="1" applyAlignment="1">
      <alignment horizontal="center" wrapText="1"/>
    </xf>
    <xf numFmtId="3" fontId="27" fillId="3" borderId="1" xfId="0" applyNumberFormat="1" applyFont="1" applyFill="1" applyBorder="1" applyAlignment="1">
      <alignment horizontal="center" wrapText="1"/>
    </xf>
    <xf numFmtId="3" fontId="27" fillId="3" borderId="3" xfId="0" applyNumberFormat="1" applyFont="1" applyFill="1" applyBorder="1" applyAlignment="1">
      <alignment horizontal="center" wrapText="1"/>
    </xf>
    <xf numFmtId="0" fontId="12" fillId="5" borderId="9" xfId="0" applyFont="1" applyFill="1" applyBorder="1" applyAlignment="1"/>
    <xf numFmtId="0" fontId="12" fillId="5" borderId="4" xfId="0" applyFont="1" applyFill="1" applyBorder="1" applyAlignment="1"/>
    <xf numFmtId="0" fontId="24" fillId="14" borderId="3" xfId="0" applyFont="1" applyFill="1" applyBorder="1" applyAlignment="1">
      <alignment horizontal="center" vertical="center"/>
    </xf>
    <xf numFmtId="0" fontId="24" fillId="14" borderId="9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26" fillId="9" borderId="10" xfId="0" applyFont="1" applyFill="1" applyBorder="1" applyAlignment="1">
      <alignment horizontal="center" vertical="top" wrapText="1"/>
    </xf>
    <xf numFmtId="0" fontId="26" fillId="9" borderId="1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left" vertical="top" wrapText="1"/>
    </xf>
    <xf numFmtId="0" fontId="17" fillId="18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26" fillId="21" borderId="3" xfId="0" applyFont="1" applyFill="1" applyBorder="1" applyAlignment="1">
      <alignment horizontal="center"/>
    </xf>
    <xf numFmtId="0" fontId="26" fillId="21" borderId="9" xfId="0" applyFont="1" applyFill="1" applyBorder="1" applyAlignment="1">
      <alignment horizontal="center"/>
    </xf>
    <xf numFmtId="0" fontId="26" fillId="21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center" wrapText="1"/>
    </xf>
    <xf numFmtId="0" fontId="37" fillId="5" borderId="1" xfId="2" applyFont="1" applyFill="1" applyBorder="1" applyAlignment="1" applyProtection="1">
      <alignment horizontal="center" vertical="center" wrapText="1"/>
    </xf>
    <xf numFmtId="0" fontId="1" fillId="22" borderId="3" xfId="0" applyFont="1" applyFill="1" applyBorder="1" applyAlignment="1" applyProtection="1">
      <alignment horizontal="center" vertical="center" wrapText="1"/>
    </xf>
    <xf numFmtId="0" fontId="1" fillId="22" borderId="9" xfId="0" applyFont="1" applyFill="1" applyBorder="1" applyAlignment="1" applyProtection="1">
      <alignment horizontal="center" vertical="center" wrapText="1"/>
    </xf>
    <xf numFmtId="0" fontId="1" fillId="22" borderId="4" xfId="0" applyFont="1" applyFill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40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37" fillId="5" borderId="34" xfId="2" applyFont="1" applyFill="1" applyBorder="1" applyAlignment="1" applyProtection="1">
      <alignment horizontal="center" vertical="center"/>
    </xf>
    <xf numFmtId="0" fontId="37" fillId="5" borderId="31" xfId="2" applyFont="1" applyFill="1" applyBorder="1" applyAlignment="1" applyProtection="1">
      <alignment horizontal="center" vertical="center"/>
    </xf>
    <xf numFmtId="0" fontId="37" fillId="5" borderId="6" xfId="2" applyFont="1" applyFill="1" applyBorder="1" applyAlignment="1" applyProtection="1">
      <alignment horizontal="center" vertical="center"/>
    </xf>
    <xf numFmtId="0" fontId="37" fillId="5" borderId="34" xfId="2" applyFont="1" applyFill="1" applyBorder="1" applyAlignment="1" applyProtection="1">
      <alignment horizontal="center" vertical="center" wrapText="1"/>
    </xf>
    <xf numFmtId="0" fontId="37" fillId="5" borderId="31" xfId="2" applyFont="1" applyFill="1" applyBorder="1" applyAlignment="1" applyProtection="1">
      <alignment horizontal="center" vertical="center" wrapText="1"/>
    </xf>
    <xf numFmtId="0" fontId="37" fillId="5" borderId="6" xfId="2" applyFont="1" applyFill="1" applyBorder="1" applyAlignment="1" applyProtection="1">
      <alignment horizontal="center" vertical="center" wrapText="1"/>
    </xf>
  </cellXfs>
  <cellStyles count="6">
    <cellStyle name="Comma" xfId="5" builtinId="3"/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FCE4EB"/>
      <color rgb="FFCEE1F2"/>
      <color rgb="FFF8CBBE"/>
      <color rgb="FFFCE4C2"/>
      <color rgb="FFFFFFDC"/>
      <color rgb="FFFFFFEC"/>
      <color rgb="FFFFFFC8"/>
      <color rgb="FFFFFFD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6" sqref="A16"/>
    </sheetView>
  </sheetViews>
  <sheetFormatPr defaultRowHeight="15" x14ac:dyDescent="0.25"/>
  <cols>
    <col min="1" max="1" width="111.28515625" customWidth="1"/>
  </cols>
  <sheetData>
    <row r="1" spans="1:1" ht="28.5" x14ac:dyDescent="0.45">
      <c r="A1" s="15" t="s">
        <v>53</v>
      </c>
    </row>
    <row r="2" spans="1:1" x14ac:dyDescent="0.25">
      <c r="A2" s="1"/>
    </row>
    <row r="3" spans="1:1" x14ac:dyDescent="0.25">
      <c r="A3" s="17" t="s">
        <v>54</v>
      </c>
    </row>
    <row r="4" spans="1:1" x14ac:dyDescent="0.25">
      <c r="A4" s="17" t="s">
        <v>55</v>
      </c>
    </row>
    <row r="5" spans="1:1" x14ac:dyDescent="0.25">
      <c r="A5" s="17" t="s">
        <v>56</v>
      </c>
    </row>
    <row r="6" spans="1:1" ht="30" x14ac:dyDescent="0.25">
      <c r="A6" s="17" t="s">
        <v>57</v>
      </c>
    </row>
    <row r="7" spans="1:1" x14ac:dyDescent="0.25">
      <c r="A7" s="17" t="s">
        <v>62</v>
      </c>
    </row>
    <row r="8" spans="1:1" x14ac:dyDescent="0.25">
      <c r="A8" s="17" t="s">
        <v>61</v>
      </c>
    </row>
    <row r="9" spans="1:1" x14ac:dyDescent="0.25">
      <c r="A9" s="17"/>
    </row>
    <row r="14" spans="1:1" ht="15" customHeight="1" x14ac:dyDescent="0.25"/>
    <row r="17" ht="15" customHeight="1" x14ac:dyDescent="0.25"/>
    <row r="18" ht="15" customHeight="1" x14ac:dyDescent="0.25"/>
    <row r="19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workbookViewId="0">
      <selection activeCell="B1" sqref="B1"/>
    </sheetView>
  </sheetViews>
  <sheetFormatPr defaultRowHeight="15" x14ac:dyDescent="0.25"/>
  <cols>
    <col min="1" max="1" width="25.140625" style="57" customWidth="1"/>
    <col min="2" max="2" width="35.42578125" customWidth="1"/>
    <col min="3" max="3" width="21.7109375" customWidth="1"/>
    <col min="4" max="4" width="17.5703125" bestFit="1" customWidth="1"/>
    <col min="5" max="5" width="20.5703125" customWidth="1"/>
    <col min="6" max="8" width="17.85546875" customWidth="1"/>
    <col min="9" max="9" width="7.5703125" bestFit="1" customWidth="1"/>
  </cols>
  <sheetData>
    <row r="1" spans="1:6" ht="21" x14ac:dyDescent="0.25">
      <c r="A1" s="19" t="s">
        <v>168</v>
      </c>
      <c r="B1" s="226" t="s">
        <v>218</v>
      </c>
      <c r="C1" s="2"/>
    </row>
    <row r="2" spans="1:6" ht="21" x14ac:dyDescent="0.25">
      <c r="A2" s="19"/>
      <c r="B2" s="22"/>
      <c r="C2" s="14"/>
    </row>
    <row r="3" spans="1:6" x14ac:dyDescent="0.25">
      <c r="A3" s="20" t="s">
        <v>58</v>
      </c>
      <c r="B3" s="199" t="s">
        <v>114</v>
      </c>
      <c r="C3" s="14"/>
    </row>
    <row r="4" spans="1:6" x14ac:dyDescent="0.25">
      <c r="A4" s="21" t="s">
        <v>59</v>
      </c>
      <c r="B4" s="200" t="s">
        <v>113</v>
      </c>
      <c r="C4" s="14"/>
    </row>
    <row r="5" spans="1:6" ht="25.5" x14ac:dyDescent="0.25">
      <c r="A5" s="21" t="s">
        <v>60</v>
      </c>
      <c r="B5" s="23" t="s">
        <v>201</v>
      </c>
      <c r="C5" s="14"/>
    </row>
    <row r="6" spans="1:6" ht="21" x14ac:dyDescent="0.25">
      <c r="A6" s="16"/>
      <c r="B6" s="13"/>
      <c r="C6" s="14"/>
    </row>
    <row r="7" spans="1:6" ht="21" x14ac:dyDescent="0.25">
      <c r="A7" s="284" t="s">
        <v>9</v>
      </c>
      <c r="B7" s="285"/>
      <c r="C7" s="61">
        <v>2017</v>
      </c>
      <c r="D7" s="64">
        <v>2018</v>
      </c>
      <c r="E7" s="66">
        <v>2019</v>
      </c>
      <c r="F7" s="27">
        <v>2020</v>
      </c>
    </row>
    <row r="8" spans="1:6" ht="18.75" x14ac:dyDescent="0.25">
      <c r="A8" s="24"/>
      <c r="B8" s="25" t="s">
        <v>167</v>
      </c>
      <c r="C8" s="62">
        <f>SUM(C24+C26+C27+C29)</f>
        <v>571500000</v>
      </c>
      <c r="D8" s="243">
        <f>C8</f>
        <v>571500000</v>
      </c>
      <c r="E8" s="67" t="s">
        <v>40</v>
      </c>
      <c r="F8" s="18" t="s">
        <v>41</v>
      </c>
    </row>
    <row r="9" spans="1:6" ht="18.75" x14ac:dyDescent="0.25">
      <c r="A9" s="24"/>
      <c r="B9" s="22" t="s">
        <v>24</v>
      </c>
      <c r="C9" s="63">
        <f>(C24*D24+C26*D26+C27*D27+C29*D29)/C8</f>
        <v>0.84970253718285216</v>
      </c>
      <c r="D9" s="65">
        <f>C9</f>
        <v>0.84970253718285216</v>
      </c>
      <c r="E9" s="67" t="s">
        <v>40</v>
      </c>
      <c r="F9" s="18" t="s">
        <v>41</v>
      </c>
    </row>
    <row r="10" spans="1:6" ht="18.75" x14ac:dyDescent="0.25">
      <c r="A10" s="24"/>
      <c r="B10" s="22" t="s">
        <v>25</v>
      </c>
      <c r="C10" s="63">
        <f>(C24*E24+C26*E26+C27*E27+C29*E29)/C8</f>
        <v>0.15029746281714787</v>
      </c>
      <c r="D10" s="65">
        <f>C10</f>
        <v>0.15029746281714787</v>
      </c>
      <c r="E10" s="67" t="s">
        <v>40</v>
      </c>
      <c r="F10" s="18" t="s">
        <v>41</v>
      </c>
    </row>
    <row r="11" spans="1:6" ht="18.75" x14ac:dyDescent="0.25">
      <c r="A11" s="13"/>
      <c r="B11" s="8"/>
      <c r="C11" s="8"/>
    </row>
    <row r="12" spans="1:6" ht="39" customHeight="1" x14ac:dyDescent="0.25">
      <c r="A12" s="286" t="s">
        <v>32</v>
      </c>
      <c r="B12" s="287"/>
      <c r="C12" s="68" t="s">
        <v>36</v>
      </c>
      <c r="D12" s="71" t="s">
        <v>39</v>
      </c>
      <c r="E12" s="74" t="s">
        <v>38</v>
      </c>
      <c r="F12" s="28" t="s">
        <v>37</v>
      </c>
    </row>
    <row r="13" spans="1:6" ht="15.75" x14ac:dyDescent="0.25">
      <c r="A13" s="56" t="s">
        <v>27</v>
      </c>
      <c r="B13" s="29">
        <f>ROUND(SUM(B14:B18),-3)</f>
        <v>2241000</v>
      </c>
      <c r="C13" s="69">
        <f>ROUND(SUM(C14:C18),-3)</f>
        <v>1276000</v>
      </c>
      <c r="D13" s="72">
        <f>ROUND(SUM(D14:D18),-3)</f>
        <v>1276000</v>
      </c>
      <c r="E13" s="75" t="s">
        <v>40</v>
      </c>
      <c r="F13" s="30" t="s">
        <v>41</v>
      </c>
    </row>
    <row r="14" spans="1:6" x14ac:dyDescent="0.25">
      <c r="A14" s="22" t="s">
        <v>31</v>
      </c>
      <c r="B14" s="26">
        <v>1500000</v>
      </c>
      <c r="C14" s="70">
        <f>B14*71%</f>
        <v>1065000</v>
      </c>
      <c r="D14" s="73">
        <f>C14</f>
        <v>1065000</v>
      </c>
      <c r="E14" s="67" t="s">
        <v>40</v>
      </c>
      <c r="F14" s="18" t="s">
        <v>41</v>
      </c>
    </row>
    <row r="15" spans="1:6" x14ac:dyDescent="0.25">
      <c r="A15" s="22" t="s">
        <v>30</v>
      </c>
      <c r="B15" s="197">
        <f>500000+28574</f>
        <v>528574</v>
      </c>
      <c r="C15" s="198">
        <f>154000+22500</f>
        <v>176500</v>
      </c>
      <c r="D15" s="73">
        <f>C15</f>
        <v>176500</v>
      </c>
      <c r="E15" s="67" t="s">
        <v>40</v>
      </c>
      <c r="F15" s="18" t="s">
        <v>41</v>
      </c>
    </row>
    <row r="16" spans="1:6" x14ac:dyDescent="0.25">
      <c r="A16" s="22" t="s">
        <v>29</v>
      </c>
      <c r="B16" s="26">
        <v>31502</v>
      </c>
      <c r="C16" s="70">
        <v>31502</v>
      </c>
      <c r="D16" s="73">
        <f>C16</f>
        <v>31502</v>
      </c>
      <c r="E16" s="67" t="s">
        <v>40</v>
      </c>
      <c r="F16" s="18" t="s">
        <v>41</v>
      </c>
    </row>
    <row r="17" spans="1:8" x14ac:dyDescent="0.25">
      <c r="A17" s="22" t="s">
        <v>28</v>
      </c>
      <c r="B17" s="26">
        <v>180690.25</v>
      </c>
      <c r="C17" s="70">
        <f>800*4</f>
        <v>3200</v>
      </c>
      <c r="D17" s="73">
        <f>C17</f>
        <v>3200</v>
      </c>
      <c r="E17" s="67" t="s">
        <v>40</v>
      </c>
      <c r="F17" s="18" t="s">
        <v>41</v>
      </c>
    </row>
    <row r="18" spans="1:8" x14ac:dyDescent="0.25">
      <c r="A18" s="22" t="s">
        <v>51</v>
      </c>
      <c r="B18" s="26">
        <v>0</v>
      </c>
      <c r="C18" s="70">
        <v>0</v>
      </c>
      <c r="D18" s="73">
        <v>0</v>
      </c>
      <c r="E18" s="67" t="s">
        <v>40</v>
      </c>
      <c r="F18" s="18" t="s">
        <v>41</v>
      </c>
    </row>
    <row r="19" spans="1:8" ht="15.75" x14ac:dyDescent="0.25">
      <c r="A19" s="5"/>
      <c r="B19" s="4"/>
    </row>
    <row r="20" spans="1:8" ht="15.75" x14ac:dyDescent="0.25">
      <c r="A20" s="5"/>
      <c r="B20" s="4"/>
    </row>
    <row r="21" spans="1:8" ht="15.6" customHeight="1" x14ac:dyDescent="0.25">
      <c r="A21" s="290" t="s">
        <v>34</v>
      </c>
      <c r="B21" s="288" t="s">
        <v>35</v>
      </c>
      <c r="C21" s="293">
        <v>2017</v>
      </c>
      <c r="D21" s="293"/>
      <c r="E21" s="294"/>
      <c r="F21" s="295">
        <v>2018</v>
      </c>
      <c r="G21" s="295"/>
      <c r="H21" s="295"/>
    </row>
    <row r="22" spans="1:8" x14ac:dyDescent="0.25">
      <c r="A22" s="291"/>
      <c r="B22" s="289"/>
      <c r="C22" s="35" t="s">
        <v>9</v>
      </c>
      <c r="D22" s="35" t="s">
        <v>24</v>
      </c>
      <c r="E22" s="59" t="s">
        <v>25</v>
      </c>
      <c r="F22" s="35" t="s">
        <v>52</v>
      </c>
      <c r="G22" s="35" t="s">
        <v>24</v>
      </c>
      <c r="H22" s="35" t="s">
        <v>25</v>
      </c>
    </row>
    <row r="23" spans="1:8" ht="36" customHeight="1" x14ac:dyDescent="0.25">
      <c r="A23" s="296" t="s">
        <v>203</v>
      </c>
      <c r="B23" s="296"/>
      <c r="C23" s="296"/>
      <c r="D23" s="296"/>
      <c r="E23" s="296"/>
      <c r="F23" s="296"/>
      <c r="G23" s="296"/>
      <c r="H23" s="296"/>
    </row>
    <row r="24" spans="1:8" ht="30.75" customHeight="1" x14ac:dyDescent="0.25">
      <c r="A24" s="292" t="s">
        <v>202</v>
      </c>
      <c r="B24" s="292"/>
      <c r="C24" s="31">
        <f>'Outcome 1'!C11</f>
        <v>380300000</v>
      </c>
      <c r="D24" s="32">
        <f>'Outcome 1'!C12</f>
        <v>0.85</v>
      </c>
      <c r="E24" s="60">
        <f>'Outcome 1'!C13</f>
        <v>0.15</v>
      </c>
      <c r="F24" s="58">
        <f>'Outcome 1'!D11</f>
        <v>360200000</v>
      </c>
      <c r="G24" s="34">
        <f>D24</f>
        <v>0.85</v>
      </c>
      <c r="H24" s="34">
        <f>E24</f>
        <v>0.15</v>
      </c>
    </row>
    <row r="25" spans="1:8" ht="31.5" customHeight="1" x14ac:dyDescent="0.25">
      <c r="A25" s="297" t="s">
        <v>115</v>
      </c>
      <c r="B25" s="297"/>
      <c r="C25" s="297"/>
      <c r="D25" s="297"/>
      <c r="E25" s="297"/>
      <c r="F25" s="297"/>
      <c r="G25" s="297"/>
      <c r="H25" s="297"/>
    </row>
    <row r="26" spans="1:8" ht="27.75" customHeight="1" x14ac:dyDescent="0.25">
      <c r="A26" s="292" t="s">
        <v>116</v>
      </c>
      <c r="B26" s="292"/>
      <c r="C26" s="31">
        <f>'Outcome 2'!C11</f>
        <v>181900000</v>
      </c>
      <c r="D26" s="33">
        <f>'Outcome 2'!C12</f>
        <v>0.85</v>
      </c>
      <c r="E26" s="60">
        <f>'Outcome 2'!C13</f>
        <v>0.15</v>
      </c>
      <c r="F26" s="58">
        <f t="shared" ref="F26:H27" si="0">C26</f>
        <v>181900000</v>
      </c>
      <c r="G26" s="34">
        <f t="shared" si="0"/>
        <v>0.85</v>
      </c>
      <c r="H26" s="34">
        <f t="shared" si="0"/>
        <v>0.15</v>
      </c>
    </row>
    <row r="27" spans="1:8" ht="30.75" customHeight="1" x14ac:dyDescent="0.25">
      <c r="A27" s="292" t="s">
        <v>117</v>
      </c>
      <c r="B27" s="292"/>
      <c r="C27" s="31">
        <f>'Outcome 2'!C33</f>
        <v>9100000</v>
      </c>
      <c r="D27" s="33">
        <f>'Outcome 2'!C34</f>
        <v>0.85</v>
      </c>
      <c r="E27" s="60">
        <f>'Outcome 2'!C35</f>
        <v>0.15</v>
      </c>
      <c r="F27" s="58">
        <f t="shared" si="0"/>
        <v>9100000</v>
      </c>
      <c r="G27" s="34">
        <f t="shared" si="0"/>
        <v>0.85</v>
      </c>
      <c r="H27" s="34">
        <f t="shared" si="0"/>
        <v>0.15</v>
      </c>
    </row>
    <row r="28" spans="1:8" ht="33.75" customHeight="1" x14ac:dyDescent="0.25">
      <c r="A28" s="297" t="s">
        <v>118</v>
      </c>
      <c r="B28" s="297"/>
      <c r="C28" s="297"/>
      <c r="D28" s="297"/>
      <c r="E28" s="297"/>
      <c r="F28" s="297"/>
      <c r="G28" s="297"/>
      <c r="H28" s="297"/>
    </row>
    <row r="29" spans="1:8" ht="30" customHeight="1" x14ac:dyDescent="0.25">
      <c r="A29" s="292" t="s">
        <v>119</v>
      </c>
      <c r="B29" s="292"/>
      <c r="C29" s="31">
        <f>'Outcome  3'!C11</f>
        <v>200000</v>
      </c>
      <c r="D29" s="33">
        <f>'Outcome  3'!C12</f>
        <v>0</v>
      </c>
      <c r="E29" s="60">
        <f>'Outcome  3'!C13</f>
        <v>1</v>
      </c>
      <c r="F29" s="58">
        <f>C29</f>
        <v>200000</v>
      </c>
      <c r="G29" s="34">
        <f>D29</f>
        <v>0</v>
      </c>
      <c r="H29" s="34">
        <f>E29</f>
        <v>1</v>
      </c>
    </row>
  </sheetData>
  <mergeCells count="13">
    <mergeCell ref="A27:B27"/>
    <mergeCell ref="A29:B29"/>
    <mergeCell ref="C21:E21"/>
    <mergeCell ref="F21:H21"/>
    <mergeCell ref="A23:H23"/>
    <mergeCell ref="A25:H25"/>
    <mergeCell ref="A28:H28"/>
    <mergeCell ref="A24:B24"/>
    <mergeCell ref="A7:B7"/>
    <mergeCell ref="A12:B12"/>
    <mergeCell ref="B21:B22"/>
    <mergeCell ref="A21:A22"/>
    <mergeCell ref="A26:B26"/>
  </mergeCells>
  <pageMargins left="0.7" right="0.7" top="0.75" bottom="0.75" header="0.3" footer="0.3"/>
  <pageSetup paperSize="9" scale="8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2"/>
  <sheetViews>
    <sheetView showGridLines="0" tabSelected="1" topLeftCell="I7" zoomScale="90" zoomScaleNormal="90" workbookViewId="0">
      <selection activeCell="C13" sqref="C13"/>
    </sheetView>
  </sheetViews>
  <sheetFormatPr defaultColWidth="9.140625" defaultRowHeight="15" outlineLevelRow="1" x14ac:dyDescent="0.25"/>
  <cols>
    <col min="1" max="1" width="11.28515625" customWidth="1"/>
    <col min="2" max="2" width="31" customWidth="1"/>
    <col min="3" max="3" width="37" customWidth="1"/>
    <col min="4" max="4" width="36.28515625" customWidth="1"/>
    <col min="5" max="5" width="12" bestFit="1" customWidth="1"/>
    <col min="6" max="6" width="8.7109375" customWidth="1"/>
    <col min="7" max="7" width="11" customWidth="1"/>
    <col min="8" max="8" width="10.85546875" bestFit="1" customWidth="1"/>
    <col min="9" max="9" width="7.5703125" customWidth="1"/>
    <col min="10" max="10" width="7.7109375" customWidth="1"/>
    <col min="11" max="11" width="7.28515625" customWidth="1"/>
    <col min="12" max="12" width="9.85546875" customWidth="1"/>
    <col min="13" max="13" width="10.28515625" customWidth="1"/>
    <col min="14" max="14" width="7.42578125" customWidth="1"/>
    <col min="15" max="15" width="8" customWidth="1"/>
    <col min="16" max="16" width="8.5703125" customWidth="1"/>
    <col min="17" max="17" width="10.140625" customWidth="1"/>
    <col min="18" max="18" width="8.5703125" customWidth="1"/>
    <col min="19" max="19" width="8.42578125" customWidth="1"/>
    <col min="20" max="20" width="8.85546875" customWidth="1"/>
    <col min="21" max="21" width="7.28515625" customWidth="1"/>
    <col min="22" max="22" width="9" customWidth="1"/>
    <col min="23" max="23" width="8.42578125" customWidth="1"/>
    <col min="24" max="45" width="8" customWidth="1"/>
    <col min="50" max="50" width="10.85546875" bestFit="1" customWidth="1"/>
    <col min="55" max="55" width="9.85546875" bestFit="1" customWidth="1"/>
    <col min="60" max="60" width="9.85546875" bestFit="1" customWidth="1"/>
  </cols>
  <sheetData>
    <row r="1" spans="1:69" ht="59.25" customHeight="1" x14ac:dyDescent="0.25">
      <c r="A1" s="331" t="s">
        <v>204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57"/>
      <c r="BJ1" s="57"/>
      <c r="BK1" s="57"/>
      <c r="BL1" s="57"/>
    </row>
    <row r="2" spans="1:69" ht="18.75" customHeight="1" x14ac:dyDescent="0.35">
      <c r="A2" s="214" t="s">
        <v>155</v>
      </c>
      <c r="B2" s="21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7"/>
      <c r="Q2" s="7"/>
      <c r="R2" s="7"/>
      <c r="S2" s="7"/>
      <c r="T2" s="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9" ht="25.15" customHeight="1" x14ac:dyDescent="0.25">
      <c r="A3" s="332" t="s">
        <v>2</v>
      </c>
      <c r="B3" s="332"/>
      <c r="C3" s="332"/>
      <c r="D3" s="332"/>
      <c r="E3" s="332"/>
      <c r="F3" s="332"/>
      <c r="G3" s="332"/>
      <c r="H3" s="333" t="s">
        <v>4</v>
      </c>
      <c r="I3" s="334"/>
      <c r="J3" s="334"/>
      <c r="K3" s="335"/>
      <c r="L3" s="336" t="s">
        <v>29</v>
      </c>
      <c r="M3" s="337"/>
      <c r="N3" s="337"/>
      <c r="O3" s="338"/>
      <c r="P3" s="333" t="s">
        <v>28</v>
      </c>
      <c r="Q3" s="334"/>
      <c r="R3" s="334"/>
      <c r="S3" s="335"/>
      <c r="T3" s="339" t="s">
        <v>5</v>
      </c>
      <c r="U3" s="337"/>
      <c r="V3" s="337"/>
      <c r="W3" s="340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9" ht="33" customHeight="1" thickBot="1" x14ac:dyDescent="0.3">
      <c r="A4" s="87" t="s">
        <v>6</v>
      </c>
      <c r="B4" s="41" t="s">
        <v>7</v>
      </c>
      <c r="C4" s="41" t="s">
        <v>3</v>
      </c>
      <c r="D4" s="308" t="s">
        <v>33</v>
      </c>
      <c r="E4" s="309"/>
      <c r="F4" s="42" t="s">
        <v>10</v>
      </c>
      <c r="G4" s="96" t="s">
        <v>0</v>
      </c>
      <c r="H4" s="103" t="s">
        <v>1</v>
      </c>
      <c r="I4" s="38" t="s">
        <v>43</v>
      </c>
      <c r="J4" s="51" t="s">
        <v>44</v>
      </c>
      <c r="K4" s="101" t="s">
        <v>63</v>
      </c>
      <c r="L4" s="99" t="s">
        <v>1</v>
      </c>
      <c r="M4" s="38" t="s">
        <v>43</v>
      </c>
      <c r="N4" s="51" t="s">
        <v>44</v>
      </c>
      <c r="O4" s="102" t="s">
        <v>63</v>
      </c>
      <c r="P4" s="103" t="s">
        <v>1</v>
      </c>
      <c r="Q4" s="38" t="s">
        <v>43</v>
      </c>
      <c r="R4" s="51" t="s">
        <v>44</v>
      </c>
      <c r="S4" s="101" t="s">
        <v>63</v>
      </c>
      <c r="T4" s="103" t="s">
        <v>1</v>
      </c>
      <c r="U4" s="38" t="s">
        <v>43</v>
      </c>
      <c r="V4" s="51" t="s">
        <v>44</v>
      </c>
      <c r="W4" s="101" t="s">
        <v>63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9" s="1" customFormat="1" ht="172.5" customHeight="1" x14ac:dyDescent="0.25">
      <c r="A5" s="88" t="s">
        <v>18</v>
      </c>
      <c r="B5" s="9" t="s">
        <v>69</v>
      </c>
      <c r="C5" s="9" t="s">
        <v>67</v>
      </c>
      <c r="D5" s="310" t="s">
        <v>156</v>
      </c>
      <c r="E5" s="311"/>
      <c r="F5" s="9" t="s">
        <v>74</v>
      </c>
      <c r="G5" s="97" t="s">
        <v>68</v>
      </c>
      <c r="H5" s="134">
        <v>0.52600000000000002</v>
      </c>
      <c r="I5" s="146">
        <v>0.52600000000000002</v>
      </c>
      <c r="J5" s="135">
        <v>0.52600000000000002</v>
      </c>
      <c r="K5" s="147">
        <v>0.52600000000000002</v>
      </c>
      <c r="L5" s="136">
        <v>0.89</v>
      </c>
      <c r="M5" s="227">
        <v>0.89</v>
      </c>
      <c r="N5" s="228">
        <v>0.89</v>
      </c>
      <c r="O5" s="229">
        <v>0.89</v>
      </c>
      <c r="P5" s="230">
        <v>0.65</v>
      </c>
      <c r="Q5" s="227">
        <v>0.65</v>
      </c>
      <c r="R5" s="228">
        <v>0.65</v>
      </c>
      <c r="S5" s="231">
        <v>0.65</v>
      </c>
      <c r="T5" s="230">
        <v>0.1</v>
      </c>
      <c r="U5" s="232">
        <v>0.1</v>
      </c>
      <c r="V5" s="228">
        <v>0.1</v>
      </c>
      <c r="W5" s="233">
        <v>0.1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9" s="1" customFormat="1" ht="169.5" customHeight="1" x14ac:dyDescent="0.25">
      <c r="A6" s="89" t="s">
        <v>19</v>
      </c>
      <c r="B6" s="10" t="s">
        <v>91</v>
      </c>
      <c r="C6" s="10" t="s">
        <v>75</v>
      </c>
      <c r="D6" s="298" t="s">
        <v>157</v>
      </c>
      <c r="E6" s="299"/>
      <c r="F6" s="11" t="s">
        <v>20</v>
      </c>
      <c r="G6" s="98" t="s">
        <v>68</v>
      </c>
      <c r="H6" s="134">
        <v>0.55000000000000004</v>
      </c>
      <c r="I6" s="138">
        <v>0.9</v>
      </c>
      <c r="J6" s="139">
        <v>0.9</v>
      </c>
      <c r="K6" s="140">
        <v>0.9</v>
      </c>
      <c r="L6" s="141" t="s">
        <v>103</v>
      </c>
      <c r="M6" s="142" t="s">
        <v>103</v>
      </c>
      <c r="N6" s="143" t="s">
        <v>103</v>
      </c>
      <c r="O6" s="144" t="s">
        <v>103</v>
      </c>
      <c r="P6" s="137" t="s">
        <v>103</v>
      </c>
      <c r="Q6" s="142" t="s">
        <v>103</v>
      </c>
      <c r="R6" s="143" t="s">
        <v>103</v>
      </c>
      <c r="S6" s="145" t="s">
        <v>103</v>
      </c>
      <c r="T6" s="137" t="s">
        <v>103</v>
      </c>
      <c r="U6" s="142" t="s">
        <v>103</v>
      </c>
      <c r="V6" s="143" t="s">
        <v>103</v>
      </c>
      <c r="W6" s="145" t="s">
        <v>103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9" s="1" customFormat="1" x14ac:dyDescent="0.25">
      <c r="A7" s="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9" s="1" customFormat="1" ht="43.5" customHeight="1" x14ac:dyDescent="0.35">
      <c r="A8" s="327" t="s">
        <v>205</v>
      </c>
      <c r="B8" s="327"/>
      <c r="C8" s="327"/>
      <c r="D8" s="32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92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7"/>
      <c r="BJ8" s="7"/>
      <c r="BK8" s="7"/>
      <c r="BL8" s="7"/>
    </row>
    <row r="9" spans="1:69" s="12" customFormat="1" ht="27.75" customHeight="1" x14ac:dyDescent="0.35">
      <c r="A9" s="93"/>
      <c r="B9" s="93"/>
      <c r="C9" s="93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9" s="1" customFormat="1" ht="29.25" customHeight="1" outlineLevel="1" thickBot="1" x14ac:dyDescent="0.4">
      <c r="A10" s="57"/>
      <c r="B10" s="104" t="s">
        <v>9</v>
      </c>
      <c r="C10" s="105" t="s">
        <v>50</v>
      </c>
      <c r="D10" s="106">
        <v>2018</v>
      </c>
      <c r="E10" s="107">
        <v>2019</v>
      </c>
      <c r="F10" s="329">
        <v>2020</v>
      </c>
      <c r="G10" s="330"/>
      <c r="H10" s="85"/>
      <c r="I10" s="85"/>
      <c r="J10" s="85"/>
      <c r="K10" s="85"/>
      <c r="L10" s="85"/>
      <c r="M10" s="85"/>
      <c r="N10" s="7"/>
      <c r="O10" s="7"/>
      <c r="P10" s="7"/>
      <c r="Q10" s="328"/>
      <c r="R10" s="328"/>
      <c r="S10" s="328"/>
      <c r="T10" s="328"/>
      <c r="U10" s="328"/>
      <c r="V10" s="32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9" s="1" customFormat="1" ht="23.45" customHeight="1" outlineLevel="1" x14ac:dyDescent="0.35">
      <c r="A11" s="7"/>
      <c r="B11" s="108" t="s">
        <v>26</v>
      </c>
      <c r="C11" s="109">
        <f>ROUND(292958720+9000*12*186+44156400+45500*30+9000*20*3+500*12*186+500*30,-5) + 5000000*3+1700000*3</f>
        <v>380300000</v>
      </c>
      <c r="D11" s="110">
        <f>ROUND(292958720+9000*12*186+44156400+45500*30+9270*20*3+500*12*186,-5)</f>
        <v>360200000</v>
      </c>
      <c r="E11" s="111" t="s">
        <v>45</v>
      </c>
      <c r="F11" s="318" t="s">
        <v>46</v>
      </c>
      <c r="G11" s="319"/>
      <c r="H11" s="85"/>
      <c r="I11" s="85"/>
      <c r="J11" s="85"/>
      <c r="K11" s="162"/>
      <c r="L11" s="85"/>
      <c r="M11" s="85"/>
      <c r="N11" s="7"/>
      <c r="O11" s="7"/>
      <c r="P11" s="55"/>
      <c r="Q11" s="55"/>
      <c r="R11" s="55"/>
      <c r="S11" s="55"/>
      <c r="T11" s="5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9" s="1" customFormat="1" ht="23.45" customHeight="1" outlineLevel="1" x14ac:dyDescent="0.35">
      <c r="A12" s="57"/>
      <c r="B12" s="112" t="s">
        <v>24</v>
      </c>
      <c r="C12" s="113">
        <v>0.85</v>
      </c>
      <c r="D12" s="114">
        <f>C12</f>
        <v>0.85</v>
      </c>
      <c r="E12" s="115" t="s">
        <v>45</v>
      </c>
      <c r="F12" s="320" t="s">
        <v>46</v>
      </c>
      <c r="G12" s="321"/>
      <c r="H12" s="85"/>
      <c r="I12" s="85"/>
      <c r="J12" s="85"/>
      <c r="K12" s="85"/>
      <c r="L12" s="85"/>
      <c r="M12" s="85"/>
      <c r="N12" s="85"/>
      <c r="O12" s="85"/>
      <c r="P12" s="85"/>
      <c r="Q12" s="7"/>
      <c r="R12" s="7"/>
      <c r="S12" s="7"/>
      <c r="T12" s="55"/>
      <c r="U12" s="55"/>
      <c r="V12" s="55"/>
      <c r="W12" s="55"/>
      <c r="X12" s="55"/>
      <c r="Y12" s="55"/>
      <c r="Z12" s="5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9" s="1" customFormat="1" ht="23.45" customHeight="1" outlineLevel="1" x14ac:dyDescent="0.35">
      <c r="A13" s="57"/>
      <c r="B13" s="112" t="s">
        <v>25</v>
      </c>
      <c r="C13" s="113">
        <v>0.15</v>
      </c>
      <c r="D13" s="114">
        <f>C13</f>
        <v>0.15</v>
      </c>
      <c r="E13" s="115" t="s">
        <v>45</v>
      </c>
      <c r="F13" s="320" t="s">
        <v>46</v>
      </c>
      <c r="G13" s="321"/>
      <c r="H13" s="85"/>
      <c r="I13" s="85"/>
      <c r="J13" s="85"/>
      <c r="K13" s="85"/>
      <c r="L13" s="85"/>
      <c r="M13" s="85"/>
      <c r="N13" s="85"/>
      <c r="O13" s="85"/>
      <c r="P13" s="85"/>
      <c r="Q13" s="7"/>
      <c r="R13" s="7"/>
      <c r="S13" s="7"/>
      <c r="T13" s="55"/>
      <c r="U13" s="55"/>
      <c r="V13" s="55"/>
      <c r="W13" s="55"/>
      <c r="X13" s="55"/>
      <c r="Y13" s="55"/>
      <c r="Z13" s="5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9" s="1" customFormat="1" ht="19.5" customHeight="1" outlineLevel="1" x14ac:dyDescent="0.35">
      <c r="A14" s="57"/>
      <c r="B14" s="3"/>
      <c r="C14" s="3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7"/>
      <c r="W14" s="7"/>
      <c r="X14" s="7"/>
      <c r="Y14" s="7"/>
      <c r="Z14" s="7"/>
      <c r="AA14" s="7"/>
      <c r="AB14" s="7"/>
      <c r="AC14" s="95" t="s">
        <v>47</v>
      </c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21" outlineLevel="1" x14ac:dyDescent="0.35">
      <c r="A15" s="322" t="s">
        <v>64</v>
      </c>
      <c r="B15" s="322"/>
      <c r="C15" s="322"/>
      <c r="D15" s="322"/>
      <c r="E15" s="322"/>
      <c r="F15" s="322"/>
      <c r="G15" s="323"/>
      <c r="H15" s="315" t="s">
        <v>1</v>
      </c>
      <c r="I15" s="316"/>
      <c r="J15" s="316"/>
      <c r="K15" s="316"/>
      <c r="L15" s="317"/>
      <c r="M15" s="324" t="s">
        <v>42</v>
      </c>
      <c r="N15" s="325"/>
      <c r="O15" s="325"/>
      <c r="P15" s="325"/>
      <c r="Q15" s="326"/>
      <c r="R15" s="312" t="s">
        <v>49</v>
      </c>
      <c r="S15" s="313"/>
      <c r="T15" s="313"/>
      <c r="U15" s="313"/>
      <c r="V15" s="314"/>
      <c r="W15" s="57"/>
      <c r="X15" s="57"/>
      <c r="Y15" s="57"/>
      <c r="Z15" s="57"/>
      <c r="AA15" s="57"/>
      <c r="AB15" s="57"/>
      <c r="AC15" s="57"/>
      <c r="AD15" s="305" t="s">
        <v>11</v>
      </c>
      <c r="AE15" s="306"/>
      <c r="AF15" s="306"/>
      <c r="AG15" s="306"/>
      <c r="AH15" s="307"/>
      <c r="AI15" s="305" t="s">
        <v>16</v>
      </c>
      <c r="AJ15" s="306"/>
      <c r="AK15" s="306"/>
      <c r="AL15" s="306"/>
      <c r="AM15" s="307"/>
      <c r="AN15" s="305" t="s">
        <v>23</v>
      </c>
      <c r="AO15" s="306"/>
      <c r="AP15" s="306"/>
      <c r="AQ15" s="306"/>
      <c r="AR15" s="307"/>
      <c r="AS15" s="305" t="s">
        <v>13</v>
      </c>
      <c r="AT15" s="306"/>
      <c r="AU15" s="306"/>
      <c r="AV15" s="306"/>
      <c r="AW15" s="307"/>
      <c r="AX15" s="305" t="s">
        <v>14</v>
      </c>
      <c r="AY15" s="306"/>
      <c r="AZ15" s="306"/>
      <c r="BA15" s="306"/>
      <c r="BB15" s="307"/>
      <c r="BC15" s="305" t="s">
        <v>12</v>
      </c>
      <c r="BD15" s="306"/>
      <c r="BE15" s="306"/>
      <c r="BF15" s="306"/>
      <c r="BG15" s="307"/>
      <c r="BH15" s="305" t="s">
        <v>17</v>
      </c>
      <c r="BI15" s="306"/>
      <c r="BJ15" s="306"/>
      <c r="BK15" s="306"/>
      <c r="BL15" s="307"/>
      <c r="BM15" s="305" t="s">
        <v>15</v>
      </c>
      <c r="BN15" s="306"/>
      <c r="BO15" s="306"/>
      <c r="BP15" s="306"/>
      <c r="BQ15" s="307"/>
    </row>
    <row r="16" spans="1:69" ht="29.45" customHeight="1" outlineLevel="1" thickBot="1" x14ac:dyDescent="0.3">
      <c r="A16" s="87" t="s">
        <v>6</v>
      </c>
      <c r="B16" s="41" t="s">
        <v>8</v>
      </c>
      <c r="C16" s="41" t="s">
        <v>3</v>
      </c>
      <c r="D16" s="308" t="s">
        <v>65</v>
      </c>
      <c r="E16" s="309"/>
      <c r="F16" s="42" t="s">
        <v>10</v>
      </c>
      <c r="G16" s="42" t="s">
        <v>0</v>
      </c>
      <c r="H16" s="42" t="s">
        <v>21</v>
      </c>
      <c r="I16" s="42" t="s">
        <v>29</v>
      </c>
      <c r="J16" s="42" t="s">
        <v>28</v>
      </c>
      <c r="K16" s="42" t="s">
        <v>22</v>
      </c>
      <c r="L16" s="42" t="s">
        <v>48</v>
      </c>
      <c r="M16" s="37" t="s">
        <v>21</v>
      </c>
      <c r="N16" s="36" t="s">
        <v>29</v>
      </c>
      <c r="O16" s="37" t="s">
        <v>28</v>
      </c>
      <c r="P16" s="36" t="s">
        <v>22</v>
      </c>
      <c r="Q16" s="37" t="s">
        <v>48</v>
      </c>
      <c r="R16" s="45" t="s">
        <v>21</v>
      </c>
      <c r="S16" s="48" t="s">
        <v>29</v>
      </c>
      <c r="T16" s="45" t="s">
        <v>28</v>
      </c>
      <c r="U16" s="48" t="s">
        <v>22</v>
      </c>
      <c r="V16" s="45" t="s">
        <v>48</v>
      </c>
      <c r="W16" s="57"/>
      <c r="X16" s="57"/>
      <c r="Y16" s="57"/>
      <c r="Z16" s="57"/>
      <c r="AA16" s="57"/>
      <c r="AB16" s="57"/>
      <c r="AC16" s="57"/>
      <c r="AD16" s="79" t="s">
        <v>21</v>
      </c>
      <c r="AE16" s="52" t="s">
        <v>29</v>
      </c>
      <c r="AF16" s="52" t="s">
        <v>28</v>
      </c>
      <c r="AG16" s="52" t="s">
        <v>22</v>
      </c>
      <c r="AH16" s="76" t="s">
        <v>48</v>
      </c>
      <c r="AI16" s="79" t="s">
        <v>21</v>
      </c>
      <c r="AJ16" s="52" t="s">
        <v>29</v>
      </c>
      <c r="AK16" s="52" t="s">
        <v>28</v>
      </c>
      <c r="AL16" s="52" t="s">
        <v>22</v>
      </c>
      <c r="AM16" s="76" t="s">
        <v>48</v>
      </c>
      <c r="AN16" s="79" t="s">
        <v>21</v>
      </c>
      <c r="AO16" s="52" t="s">
        <v>29</v>
      </c>
      <c r="AP16" s="52" t="s">
        <v>28</v>
      </c>
      <c r="AQ16" s="52" t="s">
        <v>22</v>
      </c>
      <c r="AR16" s="76" t="s">
        <v>48</v>
      </c>
      <c r="AS16" s="79" t="s">
        <v>21</v>
      </c>
      <c r="AT16" s="52" t="s">
        <v>29</v>
      </c>
      <c r="AU16" s="52" t="s">
        <v>28</v>
      </c>
      <c r="AV16" s="52" t="s">
        <v>22</v>
      </c>
      <c r="AW16" s="76" t="s">
        <v>48</v>
      </c>
      <c r="AX16" s="79" t="s">
        <v>21</v>
      </c>
      <c r="AY16" s="52" t="s">
        <v>29</v>
      </c>
      <c r="AZ16" s="52" t="s">
        <v>28</v>
      </c>
      <c r="BA16" s="52" t="s">
        <v>22</v>
      </c>
      <c r="BB16" s="76" t="s">
        <v>48</v>
      </c>
      <c r="BC16" s="79" t="s">
        <v>21</v>
      </c>
      <c r="BD16" s="52" t="s">
        <v>29</v>
      </c>
      <c r="BE16" s="52" t="s">
        <v>28</v>
      </c>
      <c r="BF16" s="52" t="s">
        <v>22</v>
      </c>
      <c r="BG16" s="76" t="s">
        <v>48</v>
      </c>
      <c r="BH16" s="79" t="s">
        <v>21</v>
      </c>
      <c r="BI16" s="52" t="s">
        <v>29</v>
      </c>
      <c r="BJ16" s="52" t="s">
        <v>28</v>
      </c>
      <c r="BK16" s="52" t="s">
        <v>22</v>
      </c>
      <c r="BL16" s="76" t="s">
        <v>48</v>
      </c>
      <c r="BM16" s="79" t="s">
        <v>21</v>
      </c>
      <c r="BN16" s="52" t="s">
        <v>29</v>
      </c>
      <c r="BO16" s="52" t="s">
        <v>28</v>
      </c>
      <c r="BP16" s="52" t="s">
        <v>22</v>
      </c>
      <c r="BQ16" s="76" t="s">
        <v>48</v>
      </c>
    </row>
    <row r="17" spans="1:69" ht="50.25" customHeight="1" outlineLevel="1" x14ac:dyDescent="0.25">
      <c r="A17" s="88" t="s">
        <v>18</v>
      </c>
      <c r="B17" s="9" t="s">
        <v>158</v>
      </c>
      <c r="C17" s="9" t="s">
        <v>136</v>
      </c>
      <c r="D17" s="310" t="s">
        <v>71</v>
      </c>
      <c r="E17" s="311"/>
      <c r="F17" s="9" t="s">
        <v>70</v>
      </c>
      <c r="G17" s="9" t="s">
        <v>76</v>
      </c>
      <c r="H17" s="211">
        <v>55000</v>
      </c>
      <c r="I17" s="211">
        <v>9000</v>
      </c>
      <c r="J17" s="9" t="s">
        <v>103</v>
      </c>
      <c r="K17" s="211">
        <v>1800</v>
      </c>
      <c r="L17" s="9" t="s">
        <v>103</v>
      </c>
      <c r="M17" s="43">
        <v>195776.443642414</v>
      </c>
      <c r="N17" s="158">
        <v>9000</v>
      </c>
      <c r="O17" s="157" t="s">
        <v>103</v>
      </c>
      <c r="P17" s="158">
        <f>35000+500</f>
        <v>35500</v>
      </c>
      <c r="Q17" s="157" t="s">
        <v>103</v>
      </c>
      <c r="R17" s="46">
        <v>195776.4436424138</v>
      </c>
      <c r="S17" s="159">
        <v>9270</v>
      </c>
      <c r="T17" s="160" t="s">
        <v>103</v>
      </c>
      <c r="U17" s="161">
        <v>35000</v>
      </c>
      <c r="V17" s="160" t="s">
        <v>103</v>
      </c>
      <c r="W17" s="57"/>
      <c r="X17" s="57"/>
      <c r="Y17" s="57"/>
      <c r="Z17" s="57"/>
      <c r="AA17" s="57"/>
      <c r="AB17" s="57"/>
      <c r="AC17" s="81" t="s">
        <v>18</v>
      </c>
      <c r="AD17" s="163">
        <v>20705.330874310373</v>
      </c>
      <c r="AE17" s="164">
        <v>580.53456923369947</v>
      </c>
      <c r="AF17" s="164" t="s">
        <v>103</v>
      </c>
      <c r="AG17" s="164">
        <f>5950+191</f>
        <v>6141</v>
      </c>
      <c r="AH17" s="165" t="s">
        <v>103</v>
      </c>
      <c r="AI17" s="163">
        <v>24773.793390899285</v>
      </c>
      <c r="AJ17" s="164">
        <v>810.51996698622304</v>
      </c>
      <c r="AK17" s="164" t="s">
        <v>103</v>
      </c>
      <c r="AL17" s="164">
        <f>8631+18</f>
        <v>8649</v>
      </c>
      <c r="AM17" s="165" t="s">
        <v>103</v>
      </c>
      <c r="AN17" s="163">
        <v>38861.650288580975</v>
      </c>
      <c r="AO17" s="164">
        <v>2001.3015046663704</v>
      </c>
      <c r="AP17" s="164" t="s">
        <v>103</v>
      </c>
      <c r="AQ17" s="164">
        <f>6751.5+24</f>
        <v>6775.5</v>
      </c>
      <c r="AR17" s="165" t="s">
        <v>103</v>
      </c>
      <c r="AS17" s="163">
        <v>3314.3626169613526</v>
      </c>
      <c r="AT17" s="164">
        <v>194.84477176052314</v>
      </c>
      <c r="AU17" s="164" t="s">
        <v>103</v>
      </c>
      <c r="AV17" s="164">
        <f>308+10</f>
        <v>318</v>
      </c>
      <c r="AW17" s="165" t="s">
        <v>103</v>
      </c>
      <c r="AX17" s="163">
        <v>55425.874506804219</v>
      </c>
      <c r="AY17" s="164">
        <v>1053.0759951749096</v>
      </c>
      <c r="AZ17" s="164" t="s">
        <v>103</v>
      </c>
      <c r="BA17" s="164">
        <f>3307.5+60</f>
        <v>3367.5</v>
      </c>
      <c r="BB17" s="165" t="s">
        <v>103</v>
      </c>
      <c r="BC17" s="163">
        <v>35836.814120449002</v>
      </c>
      <c r="BD17" s="164">
        <v>541.39419719382897</v>
      </c>
      <c r="BE17" s="164" t="s">
        <v>103</v>
      </c>
      <c r="BF17" s="164">
        <f>4490.5+173</f>
        <v>4663.5</v>
      </c>
      <c r="BG17" s="165" t="s">
        <v>103</v>
      </c>
      <c r="BH17" s="163">
        <v>9910.2292767581512</v>
      </c>
      <c r="BI17" s="164">
        <v>3661.4818106786875</v>
      </c>
      <c r="BJ17" s="164" t="s">
        <v>103</v>
      </c>
      <c r="BK17" s="164">
        <f>3624.25+5</f>
        <v>3629.25</v>
      </c>
      <c r="BL17" s="165" t="s">
        <v>103</v>
      </c>
      <c r="BM17" s="163">
        <v>6948.3885676504651</v>
      </c>
      <c r="BN17" s="164">
        <v>156.84718430575836</v>
      </c>
      <c r="BO17" s="164" t="s">
        <v>103</v>
      </c>
      <c r="BP17" s="164">
        <f>1937.25+19</f>
        <v>1956.25</v>
      </c>
      <c r="BQ17" s="165" t="s">
        <v>103</v>
      </c>
    </row>
    <row r="18" spans="1:69" ht="60" customHeight="1" outlineLevel="1" thickBot="1" x14ac:dyDescent="0.3">
      <c r="A18" s="89" t="s">
        <v>19</v>
      </c>
      <c r="B18" s="89" t="s">
        <v>77</v>
      </c>
      <c r="C18" s="89" t="s">
        <v>78</v>
      </c>
      <c r="D18" s="298" t="s">
        <v>71</v>
      </c>
      <c r="E18" s="299"/>
      <c r="F18" s="89" t="s">
        <v>74</v>
      </c>
      <c r="G18" s="89" t="s">
        <v>79</v>
      </c>
      <c r="H18" s="207">
        <v>0.9</v>
      </c>
      <c r="I18" s="207">
        <v>1</v>
      </c>
      <c r="J18" s="89" t="s">
        <v>103</v>
      </c>
      <c r="K18" s="210" t="s">
        <v>103</v>
      </c>
      <c r="L18" s="89" t="s">
        <v>103</v>
      </c>
      <c r="M18" s="128">
        <v>1</v>
      </c>
      <c r="N18" s="209">
        <v>1</v>
      </c>
      <c r="O18" s="130" t="s">
        <v>103</v>
      </c>
      <c r="P18" s="129" t="s">
        <v>103</v>
      </c>
      <c r="Q18" s="130" t="s">
        <v>103</v>
      </c>
      <c r="R18" s="131">
        <v>1</v>
      </c>
      <c r="S18" s="208">
        <v>1</v>
      </c>
      <c r="T18" s="133" t="s">
        <v>103</v>
      </c>
      <c r="U18" s="132" t="s">
        <v>103</v>
      </c>
      <c r="V18" s="133" t="s">
        <v>103</v>
      </c>
      <c r="W18" s="57"/>
      <c r="X18" s="57"/>
      <c r="Y18" s="57"/>
      <c r="Z18" s="57"/>
      <c r="AA18" s="57"/>
      <c r="AB18" s="57"/>
      <c r="AC18" s="82" t="s">
        <v>19</v>
      </c>
      <c r="AD18" s="166">
        <v>1</v>
      </c>
      <c r="AE18" s="167" t="s">
        <v>103</v>
      </c>
      <c r="AF18" s="167" t="s">
        <v>103</v>
      </c>
      <c r="AG18" s="167" t="s">
        <v>103</v>
      </c>
      <c r="AH18" s="168" t="s">
        <v>103</v>
      </c>
      <c r="AI18" s="166">
        <v>1</v>
      </c>
      <c r="AJ18" s="167" t="s">
        <v>103</v>
      </c>
      <c r="AK18" s="167" t="s">
        <v>103</v>
      </c>
      <c r="AL18" s="167" t="s">
        <v>103</v>
      </c>
      <c r="AM18" s="168" t="s">
        <v>103</v>
      </c>
      <c r="AN18" s="166">
        <v>1</v>
      </c>
      <c r="AO18" s="167" t="s">
        <v>103</v>
      </c>
      <c r="AP18" s="167" t="s">
        <v>103</v>
      </c>
      <c r="AQ18" s="167" t="s">
        <v>103</v>
      </c>
      <c r="AR18" s="168" t="s">
        <v>103</v>
      </c>
      <c r="AS18" s="166">
        <v>1</v>
      </c>
      <c r="AT18" s="167" t="s">
        <v>103</v>
      </c>
      <c r="AU18" s="167" t="s">
        <v>103</v>
      </c>
      <c r="AV18" s="167" t="s">
        <v>103</v>
      </c>
      <c r="AW18" s="168" t="s">
        <v>103</v>
      </c>
      <c r="AX18" s="166">
        <v>1</v>
      </c>
      <c r="AY18" s="167" t="s">
        <v>103</v>
      </c>
      <c r="AZ18" s="167" t="s">
        <v>103</v>
      </c>
      <c r="BA18" s="167" t="s">
        <v>103</v>
      </c>
      <c r="BB18" s="168" t="s">
        <v>103</v>
      </c>
      <c r="BC18" s="166">
        <v>1</v>
      </c>
      <c r="BD18" s="167" t="s">
        <v>103</v>
      </c>
      <c r="BE18" s="167" t="s">
        <v>103</v>
      </c>
      <c r="BF18" s="167" t="s">
        <v>103</v>
      </c>
      <c r="BG18" s="168" t="s">
        <v>103</v>
      </c>
      <c r="BH18" s="166">
        <v>1</v>
      </c>
      <c r="BI18" s="167" t="s">
        <v>103</v>
      </c>
      <c r="BJ18" s="167" t="s">
        <v>103</v>
      </c>
      <c r="BK18" s="167" t="s">
        <v>103</v>
      </c>
      <c r="BL18" s="168" t="s">
        <v>103</v>
      </c>
      <c r="BM18" s="166">
        <v>1</v>
      </c>
      <c r="BN18" s="167" t="s">
        <v>103</v>
      </c>
      <c r="BO18" s="167" t="s">
        <v>103</v>
      </c>
      <c r="BP18" s="167" t="s">
        <v>103</v>
      </c>
      <c r="BQ18" s="168" t="s">
        <v>103</v>
      </c>
    </row>
    <row r="19" spans="1:69" ht="75" outlineLevel="1" x14ac:dyDescent="0.25">
      <c r="A19" s="88" t="s">
        <v>109</v>
      </c>
      <c r="B19" s="277" t="s">
        <v>198</v>
      </c>
      <c r="C19" s="277" t="s">
        <v>199</v>
      </c>
      <c r="D19" s="277" t="s">
        <v>105</v>
      </c>
      <c r="E19" s="278"/>
      <c r="F19" s="9" t="s">
        <v>70</v>
      </c>
      <c r="G19" s="9" t="s">
        <v>104</v>
      </c>
      <c r="H19" s="9">
        <v>0</v>
      </c>
      <c r="I19" s="9">
        <v>0</v>
      </c>
      <c r="J19" s="9">
        <v>0</v>
      </c>
      <c r="K19" s="9">
        <v>0</v>
      </c>
      <c r="L19" s="9" t="s">
        <v>103</v>
      </c>
      <c r="M19" s="43">
        <v>0</v>
      </c>
      <c r="N19" s="44">
        <v>0</v>
      </c>
      <c r="O19" s="43">
        <v>0</v>
      </c>
      <c r="P19" s="44">
        <v>0</v>
      </c>
      <c r="Q19" s="43" t="s">
        <v>103</v>
      </c>
      <c r="R19" s="46"/>
      <c r="S19" s="50">
        <v>0</v>
      </c>
      <c r="T19" s="46">
        <v>0</v>
      </c>
      <c r="U19" s="212">
        <v>500</v>
      </c>
      <c r="V19" s="133" t="s">
        <v>103</v>
      </c>
      <c r="W19" s="57"/>
      <c r="X19" s="57"/>
      <c r="Y19" s="57"/>
      <c r="Z19" s="57"/>
      <c r="AA19" s="57"/>
      <c r="AB19" s="57"/>
      <c r="AC19" s="82" t="s">
        <v>109</v>
      </c>
      <c r="AD19" s="152">
        <v>0</v>
      </c>
      <c r="AE19" s="153">
        <v>0</v>
      </c>
      <c r="AF19" s="153">
        <v>0</v>
      </c>
      <c r="AG19" s="153">
        <v>0</v>
      </c>
      <c r="AH19" s="154" t="s">
        <v>103</v>
      </c>
      <c r="AI19" s="169">
        <v>0</v>
      </c>
      <c r="AJ19" s="167">
        <v>0</v>
      </c>
      <c r="AK19" s="167">
        <v>0</v>
      </c>
      <c r="AL19" s="167">
        <v>0</v>
      </c>
      <c r="AM19" s="154" t="s">
        <v>103</v>
      </c>
      <c r="AN19" s="152">
        <v>0</v>
      </c>
      <c r="AO19" s="153">
        <v>0</v>
      </c>
      <c r="AP19" s="153">
        <v>0</v>
      </c>
      <c r="AQ19" s="153">
        <v>0</v>
      </c>
      <c r="AR19" s="154" t="s">
        <v>103</v>
      </c>
      <c r="AS19" s="152">
        <v>0</v>
      </c>
      <c r="AT19" s="153">
        <v>0</v>
      </c>
      <c r="AU19" s="153">
        <v>0</v>
      </c>
      <c r="AV19" s="153">
        <v>0</v>
      </c>
      <c r="AW19" s="154" t="s">
        <v>103</v>
      </c>
      <c r="AX19" s="152">
        <v>0</v>
      </c>
      <c r="AY19" s="153">
        <v>0</v>
      </c>
      <c r="AZ19" s="153">
        <v>0</v>
      </c>
      <c r="BA19" s="153">
        <v>0</v>
      </c>
      <c r="BB19" s="154" t="s">
        <v>103</v>
      </c>
      <c r="BC19" s="152">
        <v>0</v>
      </c>
      <c r="BD19" s="153">
        <v>0</v>
      </c>
      <c r="BE19" s="153">
        <v>0</v>
      </c>
      <c r="BF19" s="153">
        <v>0</v>
      </c>
      <c r="BG19" s="154" t="s">
        <v>103</v>
      </c>
      <c r="BH19" s="152">
        <v>0</v>
      </c>
      <c r="BI19" s="153">
        <v>0</v>
      </c>
      <c r="BJ19" s="153">
        <v>0</v>
      </c>
      <c r="BK19" s="153">
        <v>0</v>
      </c>
      <c r="BL19" s="154" t="s">
        <v>103</v>
      </c>
      <c r="BM19" s="152">
        <v>0</v>
      </c>
      <c r="BN19" s="153">
        <v>0</v>
      </c>
      <c r="BO19" s="153">
        <v>0</v>
      </c>
      <c r="BP19" s="153">
        <v>0</v>
      </c>
      <c r="BQ19" s="154" t="s">
        <v>103</v>
      </c>
    </row>
    <row r="20" spans="1:69" ht="60" outlineLevel="1" x14ac:dyDescent="0.25">
      <c r="A20" s="89" t="s">
        <v>207</v>
      </c>
      <c r="B20" s="89" t="s">
        <v>208</v>
      </c>
      <c r="C20" s="89" t="s">
        <v>209</v>
      </c>
      <c r="D20" s="298" t="s">
        <v>211</v>
      </c>
      <c r="E20" s="299"/>
      <c r="F20" s="89" t="s">
        <v>210</v>
      </c>
      <c r="G20" s="89" t="s">
        <v>79</v>
      </c>
      <c r="H20" s="279">
        <v>0</v>
      </c>
      <c r="I20" s="280" t="s">
        <v>103</v>
      </c>
      <c r="J20" s="210" t="s">
        <v>103</v>
      </c>
      <c r="K20" s="210" t="s">
        <v>103</v>
      </c>
      <c r="L20" s="210" t="s">
        <v>103</v>
      </c>
      <c r="M20" s="43">
        <v>180000</v>
      </c>
      <c r="N20" s="129" t="s">
        <v>103</v>
      </c>
      <c r="O20" s="130" t="s">
        <v>103</v>
      </c>
      <c r="P20" s="129" t="s">
        <v>103</v>
      </c>
      <c r="Q20" s="130" t="s">
        <v>103</v>
      </c>
      <c r="R20" s="131" t="s">
        <v>103</v>
      </c>
      <c r="S20" s="208" t="s">
        <v>103</v>
      </c>
      <c r="T20" s="133" t="s">
        <v>103</v>
      </c>
      <c r="U20" s="132" t="s">
        <v>103</v>
      </c>
      <c r="V20" s="133" t="s">
        <v>103</v>
      </c>
      <c r="W20" s="57"/>
      <c r="X20" s="57"/>
      <c r="Y20" s="57"/>
      <c r="Z20" s="57"/>
      <c r="AA20" s="57"/>
      <c r="AB20" s="57"/>
      <c r="AC20" s="82" t="s">
        <v>207</v>
      </c>
      <c r="AD20" s="152">
        <v>26875</v>
      </c>
      <c r="AE20" s="167" t="s">
        <v>103</v>
      </c>
      <c r="AF20" s="167" t="s">
        <v>103</v>
      </c>
      <c r="AG20" s="167" t="s">
        <v>103</v>
      </c>
      <c r="AH20" s="168" t="s">
        <v>103</v>
      </c>
      <c r="AI20" s="169">
        <v>16009</v>
      </c>
      <c r="AJ20" s="167" t="s">
        <v>103</v>
      </c>
      <c r="AK20" s="167" t="s">
        <v>103</v>
      </c>
      <c r="AL20" s="167" t="s">
        <v>103</v>
      </c>
      <c r="AM20" s="168" t="s">
        <v>103</v>
      </c>
      <c r="AN20" s="152">
        <v>80625</v>
      </c>
      <c r="AO20" s="167" t="s">
        <v>103</v>
      </c>
      <c r="AP20" s="167" t="s">
        <v>103</v>
      </c>
      <c r="AQ20" s="167" t="s">
        <v>103</v>
      </c>
      <c r="AR20" s="168" t="s">
        <v>103</v>
      </c>
      <c r="AS20" s="152">
        <v>7188</v>
      </c>
      <c r="AT20" s="167" t="s">
        <v>103</v>
      </c>
      <c r="AU20" s="167" t="s">
        <v>103</v>
      </c>
      <c r="AV20" s="167" t="s">
        <v>103</v>
      </c>
      <c r="AW20" s="168" t="s">
        <v>103</v>
      </c>
      <c r="AX20" s="152">
        <v>16136</v>
      </c>
      <c r="AY20" s="167" t="s">
        <v>103</v>
      </c>
      <c r="AZ20" s="167" t="s">
        <v>103</v>
      </c>
      <c r="BA20" s="167" t="s">
        <v>103</v>
      </c>
      <c r="BB20" s="168" t="s">
        <v>103</v>
      </c>
      <c r="BC20" s="152">
        <v>13041</v>
      </c>
      <c r="BD20" s="167" t="s">
        <v>103</v>
      </c>
      <c r="BE20" s="167" t="s">
        <v>103</v>
      </c>
      <c r="BF20" s="167" t="s">
        <v>103</v>
      </c>
      <c r="BG20" s="168" t="s">
        <v>103</v>
      </c>
      <c r="BH20" s="152">
        <v>11193</v>
      </c>
      <c r="BI20" s="167" t="s">
        <v>103</v>
      </c>
      <c r="BJ20" s="167" t="s">
        <v>103</v>
      </c>
      <c r="BK20" s="167" t="s">
        <v>103</v>
      </c>
      <c r="BL20" s="168" t="s">
        <v>103</v>
      </c>
      <c r="BM20" s="152">
        <v>6846</v>
      </c>
      <c r="BN20" s="167" t="s">
        <v>103</v>
      </c>
      <c r="BO20" s="167" t="s">
        <v>103</v>
      </c>
      <c r="BP20" s="167" t="s">
        <v>103</v>
      </c>
      <c r="BQ20" s="168" t="s">
        <v>103</v>
      </c>
    </row>
    <row r="21" spans="1:69" ht="31.5" customHeight="1" outlineLevel="1" x14ac:dyDescent="0.35">
      <c r="A21" s="5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57"/>
      <c r="M21" s="57"/>
      <c r="N21" s="57"/>
      <c r="O21" s="57"/>
      <c r="P21" s="57"/>
      <c r="Q21" s="57"/>
      <c r="R21" s="7"/>
      <c r="S21" s="7"/>
      <c r="T21" s="57"/>
      <c r="U21" s="57"/>
      <c r="V21" s="57"/>
      <c r="W21" s="57"/>
      <c r="X21" s="116"/>
      <c r="Y21" s="117"/>
      <c r="Z21" s="117"/>
      <c r="AA21" s="117"/>
      <c r="AB21" s="117"/>
      <c r="AC21" s="117"/>
      <c r="AD21" s="117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84"/>
      <c r="BM21" s="84"/>
    </row>
    <row r="22" spans="1:69" ht="21" outlineLevel="1" x14ac:dyDescent="0.35">
      <c r="A22" s="54" t="s">
        <v>66</v>
      </c>
      <c r="B22" s="54"/>
      <c r="C22" s="54"/>
      <c r="D22" s="54"/>
      <c r="E22" s="54"/>
      <c r="F22" s="54"/>
      <c r="G22" s="54"/>
      <c r="H22" s="121"/>
      <c r="I22" s="121"/>
      <c r="J22" s="121"/>
      <c r="K22" s="121"/>
      <c r="L22" s="121"/>
      <c r="M22" s="121"/>
      <c r="N22" s="121"/>
      <c r="O22" s="121"/>
      <c r="P22" s="148"/>
      <c r="Q22" s="148"/>
      <c r="R22" s="148"/>
      <c r="S22" s="57"/>
      <c r="T22" s="57"/>
      <c r="U22" s="57"/>
      <c r="V22" s="57"/>
      <c r="W22" s="57"/>
      <c r="X22" s="8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84"/>
    </row>
    <row r="23" spans="1:69" ht="24.6" customHeight="1" outlineLevel="1" x14ac:dyDescent="0.25">
      <c r="A23" s="302" t="s">
        <v>137</v>
      </c>
      <c r="B23" s="303"/>
      <c r="C23" s="303"/>
      <c r="D23" s="303"/>
      <c r="E23" s="303"/>
      <c r="F23" s="303"/>
      <c r="G23" s="303"/>
      <c r="H23" s="123"/>
      <c r="I23" s="123"/>
      <c r="J23" s="123"/>
      <c r="K23" s="57"/>
      <c r="L23" s="57"/>
      <c r="M23" s="57"/>
      <c r="N23" s="57"/>
      <c r="O23" s="57"/>
      <c r="P23" s="148"/>
      <c r="Q23" s="148"/>
      <c r="R23" s="148"/>
      <c r="S23" s="119"/>
      <c r="T23" s="119"/>
      <c r="U23" s="119"/>
      <c r="V23" s="119"/>
      <c r="W23" s="119"/>
      <c r="X23" s="119"/>
      <c r="Y23" s="155"/>
      <c r="Z23" s="156"/>
      <c r="AA23" s="119"/>
      <c r="AB23" s="119"/>
      <c r="AC23" s="119"/>
      <c r="AD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84"/>
    </row>
    <row r="24" spans="1:69" ht="24.6" customHeight="1" outlineLevel="1" x14ac:dyDescent="0.25">
      <c r="A24" s="300" t="s">
        <v>138</v>
      </c>
      <c r="B24" s="301"/>
      <c r="C24" s="301"/>
      <c r="D24" s="301"/>
      <c r="E24" s="301"/>
      <c r="F24" s="301"/>
      <c r="G24" s="301"/>
      <c r="H24" s="122"/>
      <c r="I24" s="122"/>
      <c r="J24" s="122"/>
      <c r="K24" s="57"/>
      <c r="L24" s="57"/>
      <c r="M24" s="57"/>
      <c r="N24" s="57"/>
      <c r="O24" s="57"/>
      <c r="P24" s="148"/>
      <c r="Q24" s="148"/>
      <c r="R24" s="148"/>
      <c r="S24" s="120"/>
      <c r="T24" s="120"/>
      <c r="U24" s="120"/>
      <c r="V24" s="120"/>
      <c r="W24" s="120"/>
      <c r="X24" s="120"/>
      <c r="Y24" s="155"/>
      <c r="Z24" s="156"/>
      <c r="AA24" s="120"/>
      <c r="AB24" s="120"/>
      <c r="AC24" s="120"/>
      <c r="AD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19"/>
      <c r="AW24" s="119"/>
      <c r="AX24" s="119"/>
      <c r="AY24" s="119"/>
      <c r="AZ24" s="120"/>
      <c r="BA24" s="120"/>
      <c r="BB24" s="120"/>
      <c r="BC24" s="120"/>
      <c r="BD24" s="120"/>
      <c r="BE24" s="120"/>
      <c r="BF24" s="84"/>
    </row>
    <row r="25" spans="1:69" ht="24.6" customHeight="1" outlineLevel="1" x14ac:dyDescent="0.25">
      <c r="A25" s="302" t="s">
        <v>139</v>
      </c>
      <c r="B25" s="303"/>
      <c r="C25" s="303"/>
      <c r="D25" s="303"/>
      <c r="E25" s="303"/>
      <c r="F25" s="303"/>
      <c r="G25" s="303"/>
      <c r="H25" s="122"/>
      <c r="I25" s="122"/>
      <c r="J25" s="122"/>
      <c r="K25" s="57"/>
      <c r="L25" s="57"/>
      <c r="M25" s="57"/>
      <c r="N25" s="57"/>
      <c r="O25" s="57"/>
      <c r="P25" s="148"/>
      <c r="Q25" s="148"/>
      <c r="R25" s="148"/>
      <c r="S25" s="120"/>
      <c r="T25" s="120"/>
      <c r="U25" s="120"/>
      <c r="V25" s="120"/>
      <c r="W25" s="120"/>
      <c r="X25" s="120"/>
      <c r="Y25" s="155"/>
      <c r="Z25" s="156"/>
      <c r="AA25" s="120"/>
      <c r="AB25" s="120"/>
      <c r="AC25" s="120"/>
      <c r="AD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84"/>
    </row>
    <row r="26" spans="1:69" ht="24.6" customHeight="1" outlineLevel="1" x14ac:dyDescent="0.25">
      <c r="A26" s="300" t="s">
        <v>200</v>
      </c>
      <c r="B26" s="301"/>
      <c r="C26" s="301"/>
      <c r="D26" s="301"/>
      <c r="E26" s="301"/>
      <c r="F26" s="301"/>
      <c r="G26" s="301"/>
      <c r="H26" s="122"/>
      <c r="I26" s="122"/>
      <c r="J26" s="122"/>
      <c r="K26" s="57"/>
      <c r="L26" s="57"/>
      <c r="M26" s="57"/>
      <c r="N26" s="57"/>
      <c r="O26" s="57"/>
      <c r="P26" s="148"/>
      <c r="Q26" s="148"/>
      <c r="R26" s="148"/>
      <c r="S26" s="120"/>
      <c r="T26" s="120"/>
      <c r="U26" s="120"/>
      <c r="V26" s="120"/>
      <c r="W26" s="120"/>
      <c r="X26" s="120"/>
      <c r="Y26" s="155"/>
      <c r="Z26" s="156"/>
      <c r="AA26" s="120"/>
      <c r="AB26" s="120"/>
      <c r="AC26" s="120"/>
      <c r="AD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84"/>
    </row>
    <row r="27" spans="1:69" ht="34.5" customHeight="1" outlineLevel="1" x14ac:dyDescent="0.25">
      <c r="A27" s="302" t="s">
        <v>140</v>
      </c>
      <c r="B27" s="303"/>
      <c r="C27" s="303"/>
      <c r="D27" s="303"/>
      <c r="E27" s="303"/>
      <c r="F27" s="303"/>
      <c r="G27" s="303"/>
      <c r="H27" s="122"/>
      <c r="I27" s="122"/>
      <c r="J27" s="122"/>
      <c r="K27" s="57"/>
      <c r="L27" s="57"/>
      <c r="M27" s="57"/>
      <c r="N27" s="57"/>
      <c r="O27" s="57"/>
      <c r="P27" s="148"/>
      <c r="Q27" s="148"/>
      <c r="R27" s="148"/>
      <c r="S27" s="120"/>
      <c r="T27" s="120"/>
      <c r="U27" s="120"/>
      <c r="V27" s="120"/>
      <c r="W27" s="120"/>
      <c r="X27" s="120"/>
      <c r="Y27" s="155"/>
      <c r="Z27" s="156"/>
      <c r="AA27" s="120"/>
      <c r="AB27" s="120"/>
      <c r="AC27" s="120"/>
      <c r="AD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84"/>
    </row>
    <row r="28" spans="1:69" ht="44.1" customHeight="1" x14ac:dyDescent="0.25">
      <c r="A28" s="300" t="s">
        <v>212</v>
      </c>
      <c r="B28" s="301"/>
      <c r="C28" s="301"/>
      <c r="D28" s="301"/>
      <c r="E28" s="301"/>
      <c r="F28" s="301"/>
      <c r="G28" s="301"/>
      <c r="P28" s="148"/>
      <c r="Q28" s="148"/>
      <c r="R28" s="148"/>
      <c r="X28" s="84"/>
      <c r="Y28" s="155"/>
      <c r="Z28" s="156"/>
      <c r="AA28" s="84"/>
      <c r="AB28" s="84"/>
      <c r="AC28" s="84"/>
      <c r="AV28" s="120"/>
      <c r="AW28" s="120"/>
      <c r="AX28" s="120"/>
      <c r="AY28" s="120"/>
    </row>
    <row r="29" spans="1:69" x14ac:dyDescent="0.25">
      <c r="P29" s="148"/>
      <c r="Q29" s="148"/>
      <c r="R29" s="148"/>
      <c r="X29" s="84"/>
      <c r="Y29" s="155"/>
      <c r="Z29" s="156"/>
      <c r="AA29" s="84"/>
      <c r="AB29" s="84"/>
      <c r="AC29" s="84"/>
    </row>
    <row r="30" spans="1:69" x14ac:dyDescent="0.25">
      <c r="P30" s="148"/>
      <c r="Q30" s="148"/>
      <c r="R30" s="148"/>
      <c r="X30" s="84"/>
      <c r="Y30" s="155"/>
      <c r="Z30" s="156"/>
      <c r="AA30" s="84"/>
      <c r="AB30" s="84"/>
      <c r="AC30" s="84"/>
    </row>
    <row r="31" spans="1:69" x14ac:dyDescent="0.25">
      <c r="X31" s="84"/>
      <c r="Y31" s="84"/>
      <c r="Z31" s="84"/>
      <c r="AA31" s="84"/>
      <c r="AB31" s="84"/>
      <c r="AC31" s="84"/>
    </row>
    <row r="32" spans="1:69" x14ac:dyDescent="0.25">
      <c r="X32" s="84"/>
      <c r="Y32" s="84"/>
      <c r="Z32" s="84"/>
      <c r="AA32" s="84"/>
      <c r="AB32" s="84"/>
      <c r="AC32" s="84"/>
    </row>
  </sheetData>
  <mergeCells count="45">
    <mergeCell ref="A1:W1"/>
    <mergeCell ref="A3:G3"/>
    <mergeCell ref="H3:K3"/>
    <mergeCell ref="L3:O3"/>
    <mergeCell ref="P3:S3"/>
    <mergeCell ref="T3:W3"/>
    <mergeCell ref="D4:E4"/>
    <mergeCell ref="D5:E5"/>
    <mergeCell ref="D6:E6"/>
    <mergeCell ref="A8:D8"/>
    <mergeCell ref="Q10:V10"/>
    <mergeCell ref="F10:G10"/>
    <mergeCell ref="F11:G11"/>
    <mergeCell ref="F12:G12"/>
    <mergeCell ref="F13:G13"/>
    <mergeCell ref="A15:G15"/>
    <mergeCell ref="M15:Q15"/>
    <mergeCell ref="AN15:AR15"/>
    <mergeCell ref="AS15:AW15"/>
    <mergeCell ref="D18:E18"/>
    <mergeCell ref="BH15:BL15"/>
    <mergeCell ref="BM15:BQ15"/>
    <mergeCell ref="D16:E16"/>
    <mergeCell ref="D17:E17"/>
    <mergeCell ref="AX15:BB15"/>
    <mergeCell ref="BC15:BG15"/>
    <mergeCell ref="R15:V15"/>
    <mergeCell ref="H15:L15"/>
    <mergeCell ref="AD15:AH15"/>
    <mergeCell ref="AI15:AM15"/>
    <mergeCell ref="BH22:BL22"/>
    <mergeCell ref="A23:G23"/>
    <mergeCell ref="A24:G24"/>
    <mergeCell ref="A25:G25"/>
    <mergeCell ref="Y22:AC22"/>
    <mergeCell ref="AD22:AH22"/>
    <mergeCell ref="AI22:AM22"/>
    <mergeCell ref="AN22:AR22"/>
    <mergeCell ref="AS22:AW22"/>
    <mergeCell ref="AX22:BB22"/>
    <mergeCell ref="D20:E20"/>
    <mergeCell ref="A28:G28"/>
    <mergeCell ref="A27:G27"/>
    <mergeCell ref="A26:G26"/>
    <mergeCell ref="BC22:BG22"/>
  </mergeCells>
  <pageMargins left="0.7" right="0.7" top="0.75" bottom="0.75" header="0.3" footer="0.3"/>
  <pageSetup paperSize="8" scale="65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3"/>
  <sheetViews>
    <sheetView showGridLines="0" zoomScale="80" zoomScaleNormal="80" workbookViewId="0">
      <selection activeCell="N26" sqref="N26"/>
    </sheetView>
  </sheetViews>
  <sheetFormatPr defaultColWidth="9.140625" defaultRowHeight="15" outlineLevelRow="1" x14ac:dyDescent="0.25"/>
  <cols>
    <col min="1" max="1" width="14.42578125" customWidth="1"/>
    <col min="2" max="2" width="43.140625" customWidth="1"/>
    <col min="3" max="3" width="55.5703125" customWidth="1"/>
    <col min="4" max="4" width="36.28515625" customWidth="1"/>
    <col min="5" max="5" width="20.5703125" customWidth="1"/>
    <col min="6" max="6" width="10.85546875" customWidth="1"/>
    <col min="7" max="7" width="14.42578125" customWidth="1"/>
    <col min="8" max="9" width="10.28515625" customWidth="1"/>
    <col min="10" max="10" width="11.5703125" customWidth="1"/>
    <col min="11" max="11" width="10.28515625" customWidth="1"/>
    <col min="12" max="12" width="11.7109375" customWidth="1"/>
    <col min="13" max="19" width="10.28515625" customWidth="1"/>
    <col min="20" max="20" width="13" customWidth="1"/>
    <col min="21" max="23" width="10.28515625" customWidth="1"/>
    <col min="24" max="24" width="8" customWidth="1"/>
    <col min="25" max="25" width="9.42578125" customWidth="1"/>
    <col min="26" max="29" width="8" customWidth="1"/>
    <col min="30" max="30" width="10.28515625" customWidth="1"/>
    <col min="31" max="34" width="8" customWidth="1"/>
    <col min="35" max="35" width="9.42578125" customWidth="1"/>
    <col min="36" max="44" width="8" customWidth="1"/>
    <col min="45" max="45" width="9.5703125" customWidth="1"/>
    <col min="46" max="46" width="10.28515625" bestFit="1" customWidth="1"/>
    <col min="48" max="48" width="10.7109375" bestFit="1" customWidth="1"/>
    <col min="50" max="50" width="11.5703125" bestFit="1" customWidth="1"/>
    <col min="51" max="51" width="9.28515625" bestFit="1" customWidth="1"/>
    <col min="53" max="53" width="10.7109375" bestFit="1" customWidth="1"/>
    <col min="55" max="55" width="11.5703125" bestFit="1" customWidth="1"/>
    <col min="56" max="56" width="10.28515625" bestFit="1" customWidth="1"/>
    <col min="58" max="58" width="10.7109375" bestFit="1" customWidth="1"/>
    <col min="60" max="60" width="10.7109375" bestFit="1" customWidth="1"/>
    <col min="61" max="61" width="9.28515625" bestFit="1" customWidth="1"/>
    <col min="63" max="63" width="10.28515625" bestFit="1" customWidth="1"/>
  </cols>
  <sheetData>
    <row r="1" spans="1:69" ht="60" customHeight="1" x14ac:dyDescent="0.25">
      <c r="A1" s="348" t="s">
        <v>106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57"/>
      <c r="BJ1" s="57"/>
      <c r="BK1" s="57"/>
      <c r="BL1" s="57"/>
    </row>
    <row r="2" spans="1:69" ht="19.5" customHeight="1" x14ac:dyDescent="0.35">
      <c r="A2" s="214" t="s">
        <v>155</v>
      </c>
      <c r="B2" s="21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7"/>
      <c r="Q2" s="7"/>
      <c r="R2" s="7"/>
      <c r="S2" s="7"/>
      <c r="T2" s="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9" ht="25.15" customHeight="1" x14ac:dyDescent="0.25">
      <c r="A3" s="332" t="s">
        <v>2</v>
      </c>
      <c r="B3" s="332"/>
      <c r="C3" s="332"/>
      <c r="D3" s="332"/>
      <c r="E3" s="332"/>
      <c r="F3" s="332"/>
      <c r="G3" s="332"/>
      <c r="H3" s="333" t="s">
        <v>4</v>
      </c>
      <c r="I3" s="334"/>
      <c r="J3" s="334"/>
      <c r="K3" s="335"/>
      <c r="L3" s="336" t="s">
        <v>29</v>
      </c>
      <c r="M3" s="337"/>
      <c r="N3" s="337"/>
      <c r="O3" s="338"/>
      <c r="P3" s="333" t="s">
        <v>28</v>
      </c>
      <c r="Q3" s="334"/>
      <c r="R3" s="334"/>
      <c r="S3" s="335"/>
      <c r="T3" s="339" t="s">
        <v>5</v>
      </c>
      <c r="U3" s="337"/>
      <c r="V3" s="337"/>
      <c r="W3" s="340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9" ht="33" customHeight="1" thickBot="1" x14ac:dyDescent="0.3">
      <c r="A4" s="87" t="s">
        <v>6</v>
      </c>
      <c r="B4" s="41" t="s">
        <v>7</v>
      </c>
      <c r="C4" s="41" t="s">
        <v>3</v>
      </c>
      <c r="D4" s="308" t="s">
        <v>33</v>
      </c>
      <c r="E4" s="309"/>
      <c r="F4" s="42" t="s">
        <v>10</v>
      </c>
      <c r="G4" s="124" t="s">
        <v>0</v>
      </c>
      <c r="H4" s="100" t="s">
        <v>1</v>
      </c>
      <c r="I4" s="38" t="s">
        <v>43</v>
      </c>
      <c r="J4" s="51" t="s">
        <v>44</v>
      </c>
      <c r="K4" s="101" t="s">
        <v>63</v>
      </c>
      <c r="L4" s="99" t="s">
        <v>1</v>
      </c>
      <c r="M4" s="38" t="s">
        <v>43</v>
      </c>
      <c r="N4" s="51" t="s">
        <v>44</v>
      </c>
      <c r="O4" s="102" t="s">
        <v>63</v>
      </c>
      <c r="P4" s="100" t="s">
        <v>1</v>
      </c>
      <c r="Q4" s="38" t="s">
        <v>43</v>
      </c>
      <c r="R4" s="51" t="s">
        <v>44</v>
      </c>
      <c r="S4" s="101" t="s">
        <v>63</v>
      </c>
      <c r="T4" s="103" t="s">
        <v>1</v>
      </c>
      <c r="U4" s="38" t="s">
        <v>43</v>
      </c>
      <c r="V4" s="51" t="s">
        <v>44</v>
      </c>
      <c r="W4" s="101" t="s">
        <v>63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9" s="1" customFormat="1" ht="81.75" customHeight="1" thickBot="1" x14ac:dyDescent="0.3">
      <c r="A5" s="88" t="s">
        <v>159</v>
      </c>
      <c r="B5" s="10" t="s">
        <v>146</v>
      </c>
      <c r="C5" s="10" t="s">
        <v>147</v>
      </c>
      <c r="D5" s="298" t="s">
        <v>148</v>
      </c>
      <c r="E5" s="299"/>
      <c r="F5" s="11" t="s">
        <v>20</v>
      </c>
      <c r="G5" s="98" t="s">
        <v>160</v>
      </c>
      <c r="H5" s="170" t="s">
        <v>103</v>
      </c>
      <c r="I5" s="172">
        <v>1</v>
      </c>
      <c r="J5" s="173">
        <v>1</v>
      </c>
      <c r="K5" s="174">
        <v>1</v>
      </c>
      <c r="L5" s="175" t="s">
        <v>103</v>
      </c>
      <c r="M5" s="172" t="s">
        <v>103</v>
      </c>
      <c r="N5" s="173" t="s">
        <v>103</v>
      </c>
      <c r="O5" s="176" t="s">
        <v>103</v>
      </c>
      <c r="P5" s="170" t="s">
        <v>103</v>
      </c>
      <c r="Q5" s="172" t="s">
        <v>103</v>
      </c>
      <c r="R5" s="173" t="s">
        <v>103</v>
      </c>
      <c r="S5" s="174" t="s">
        <v>103</v>
      </c>
      <c r="T5" s="170" t="s">
        <v>103</v>
      </c>
      <c r="U5" s="172" t="s">
        <v>103</v>
      </c>
      <c r="V5" s="173" t="s">
        <v>103</v>
      </c>
      <c r="W5" s="174" t="s">
        <v>103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9" s="1" customFormat="1" ht="85.5" customHeight="1" x14ac:dyDescent="0.25">
      <c r="A6" s="88" t="s">
        <v>19</v>
      </c>
      <c r="B6" s="9" t="s">
        <v>145</v>
      </c>
      <c r="C6" s="9" t="s">
        <v>142</v>
      </c>
      <c r="D6" s="310" t="s">
        <v>162</v>
      </c>
      <c r="E6" s="311"/>
      <c r="F6" s="9" t="s">
        <v>20</v>
      </c>
      <c r="G6" s="97" t="s">
        <v>161</v>
      </c>
      <c r="H6" s="170" t="s">
        <v>103</v>
      </c>
      <c r="I6" s="185">
        <v>1</v>
      </c>
      <c r="J6" s="186">
        <v>1</v>
      </c>
      <c r="K6" s="187">
        <v>1</v>
      </c>
      <c r="L6" s="170" t="s">
        <v>103</v>
      </c>
      <c r="M6" s="185">
        <v>1</v>
      </c>
      <c r="N6" s="186">
        <v>1</v>
      </c>
      <c r="O6" s="216">
        <v>1</v>
      </c>
      <c r="P6" s="170" t="s">
        <v>103</v>
      </c>
      <c r="Q6" s="185">
        <v>1</v>
      </c>
      <c r="R6" s="186">
        <v>1</v>
      </c>
      <c r="S6" s="187">
        <v>1</v>
      </c>
      <c r="T6" s="170" t="s">
        <v>103</v>
      </c>
      <c r="U6" s="185">
        <v>1</v>
      </c>
      <c r="V6" s="186">
        <v>1</v>
      </c>
      <c r="W6" s="187">
        <v>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9" s="1" customFormat="1" x14ac:dyDescent="0.25">
      <c r="A7" s="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9" s="1" customFormat="1" ht="45.75" customHeight="1" x14ac:dyDescent="0.25">
      <c r="A8" s="327" t="s">
        <v>166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7"/>
      <c r="BJ8" s="7"/>
      <c r="BK8" s="7"/>
      <c r="BL8" s="7"/>
    </row>
    <row r="9" spans="1:69" s="12" customFormat="1" ht="27.75" customHeight="1" x14ac:dyDescent="0.35">
      <c r="A9" s="93"/>
      <c r="B9" s="93"/>
      <c r="C9" s="93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9" s="1" customFormat="1" ht="29.25" customHeight="1" outlineLevel="1" thickBot="1" x14ac:dyDescent="0.4">
      <c r="A10" s="57"/>
      <c r="B10" s="104" t="s">
        <v>9</v>
      </c>
      <c r="C10" s="105" t="s">
        <v>50</v>
      </c>
      <c r="D10" s="106">
        <v>2018</v>
      </c>
      <c r="E10" s="107">
        <v>2019</v>
      </c>
      <c r="F10" s="329">
        <v>2020</v>
      </c>
      <c r="G10" s="330"/>
      <c r="H10" s="85"/>
      <c r="I10" s="85"/>
      <c r="J10" s="85"/>
      <c r="K10" s="85"/>
      <c r="L10" s="85"/>
      <c r="M10" s="85"/>
      <c r="N10" s="7"/>
      <c r="O10" s="7"/>
      <c r="P10" s="7"/>
      <c r="Q10" s="328"/>
      <c r="R10" s="328"/>
      <c r="S10" s="328"/>
      <c r="T10" s="328"/>
      <c r="U10" s="328"/>
      <c r="V10" s="32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9" s="1" customFormat="1" ht="23.45" customHeight="1" outlineLevel="1" x14ac:dyDescent="0.35">
      <c r="A11" s="7"/>
      <c r="B11" s="108" t="s">
        <v>26</v>
      </c>
      <c r="C11" s="109">
        <f>ROUND(M18*5*115+115*35000*5+115*9800*5+M20*212+2000*115*5,-5)+4600000</f>
        <v>181900000</v>
      </c>
      <c r="D11" s="110">
        <f>ROUND(M18*5*115+115*35000*5+115*(9800+270)*5+M20*212,-5)</f>
        <v>176300000</v>
      </c>
      <c r="E11" s="111" t="s">
        <v>45</v>
      </c>
      <c r="F11" s="318" t="s">
        <v>46</v>
      </c>
      <c r="G11" s="319"/>
      <c r="H11" s="85"/>
      <c r="I11" s="85"/>
      <c r="J11" s="85"/>
      <c r="K11" s="85"/>
      <c r="L11" s="85"/>
      <c r="M11" s="85"/>
      <c r="N11" s="7"/>
      <c r="O11" s="7"/>
      <c r="P11" s="125"/>
      <c r="Q11" s="125"/>
      <c r="R11" s="125"/>
      <c r="S11" s="125"/>
      <c r="T11" s="12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9" s="1" customFormat="1" ht="23.45" customHeight="1" outlineLevel="1" x14ac:dyDescent="0.35">
      <c r="A12" s="57"/>
      <c r="B12" s="112" t="s">
        <v>24</v>
      </c>
      <c r="C12" s="240">
        <v>0.85</v>
      </c>
      <c r="D12" s="241">
        <f>C12</f>
        <v>0.85</v>
      </c>
      <c r="E12" s="115" t="s">
        <v>45</v>
      </c>
      <c r="F12" s="320" t="s">
        <v>46</v>
      </c>
      <c r="G12" s="321"/>
      <c r="H12" s="85"/>
      <c r="I12" s="85"/>
      <c r="J12" s="85"/>
      <c r="K12" s="85"/>
      <c r="L12" s="85"/>
      <c r="M12" s="85"/>
      <c r="N12" s="85"/>
      <c r="O12" s="85"/>
      <c r="P12" s="85"/>
      <c r="Q12" s="7"/>
      <c r="R12" s="7"/>
      <c r="S12" s="7"/>
      <c r="T12" s="125"/>
      <c r="U12" s="125"/>
      <c r="V12" s="125"/>
      <c r="W12" s="125"/>
      <c r="X12" s="125"/>
      <c r="Y12" s="125"/>
      <c r="Z12" s="12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9" s="1" customFormat="1" ht="23.45" customHeight="1" outlineLevel="1" x14ac:dyDescent="0.35">
      <c r="A13" s="57"/>
      <c r="B13" s="112" t="s">
        <v>25</v>
      </c>
      <c r="C13" s="240">
        <v>0.15</v>
      </c>
      <c r="D13" s="241">
        <f>C13</f>
        <v>0.15</v>
      </c>
      <c r="E13" s="115" t="s">
        <v>45</v>
      </c>
      <c r="F13" s="320" t="s">
        <v>46</v>
      </c>
      <c r="G13" s="321"/>
      <c r="H13" s="85"/>
      <c r="I13" s="85"/>
      <c r="J13" s="85"/>
      <c r="K13" s="85"/>
      <c r="L13" s="85"/>
      <c r="M13" s="85"/>
      <c r="N13" s="85"/>
      <c r="O13" s="85"/>
      <c r="P13" s="85"/>
      <c r="Q13" s="7"/>
      <c r="R13" s="7"/>
      <c r="S13" s="7"/>
      <c r="T13" s="125"/>
      <c r="U13" s="125"/>
      <c r="V13" s="125"/>
      <c r="W13" s="125"/>
      <c r="X13" s="125"/>
      <c r="Y13" s="125"/>
      <c r="Z13" s="12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9" s="1" customFormat="1" ht="19.5" customHeight="1" outlineLevel="1" x14ac:dyDescent="0.35">
      <c r="A14" s="57"/>
      <c r="B14" s="3"/>
      <c r="C14" s="3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7"/>
      <c r="W14" s="7"/>
      <c r="X14" s="7"/>
      <c r="Y14" s="7"/>
      <c r="Z14" s="7"/>
      <c r="AA14" s="7"/>
      <c r="AB14" s="7"/>
      <c r="AC14" s="95" t="s">
        <v>47</v>
      </c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21" outlineLevel="1" x14ac:dyDescent="0.35">
      <c r="A15" s="322" t="s">
        <v>72</v>
      </c>
      <c r="B15" s="322"/>
      <c r="C15" s="322"/>
      <c r="D15" s="322"/>
      <c r="E15" s="322"/>
      <c r="F15" s="322"/>
      <c r="G15" s="323"/>
      <c r="H15" s="315" t="s">
        <v>1</v>
      </c>
      <c r="I15" s="316"/>
      <c r="J15" s="316"/>
      <c r="K15" s="316"/>
      <c r="L15" s="317"/>
      <c r="M15" s="324" t="s">
        <v>42</v>
      </c>
      <c r="N15" s="325"/>
      <c r="O15" s="325"/>
      <c r="P15" s="325"/>
      <c r="Q15" s="326"/>
      <c r="R15" s="312" t="s">
        <v>49</v>
      </c>
      <c r="S15" s="313"/>
      <c r="T15" s="313"/>
      <c r="U15" s="313"/>
      <c r="V15" s="314"/>
      <c r="W15" s="57"/>
      <c r="X15" s="57"/>
      <c r="Y15" s="57"/>
      <c r="Z15" s="57"/>
      <c r="AA15" s="57"/>
      <c r="AB15" s="57"/>
      <c r="AC15" s="57"/>
      <c r="AD15" s="305" t="s">
        <v>11</v>
      </c>
      <c r="AE15" s="306"/>
      <c r="AF15" s="306"/>
      <c r="AG15" s="306"/>
      <c r="AH15" s="307"/>
      <c r="AI15" s="305" t="s">
        <v>16</v>
      </c>
      <c r="AJ15" s="306"/>
      <c r="AK15" s="306"/>
      <c r="AL15" s="306"/>
      <c r="AM15" s="307"/>
      <c r="AN15" s="305" t="s">
        <v>23</v>
      </c>
      <c r="AO15" s="306"/>
      <c r="AP15" s="306"/>
      <c r="AQ15" s="306"/>
      <c r="AR15" s="307"/>
      <c r="AS15" s="305" t="s">
        <v>13</v>
      </c>
      <c r="AT15" s="306"/>
      <c r="AU15" s="306"/>
      <c r="AV15" s="306"/>
      <c r="AW15" s="307"/>
      <c r="AX15" s="305" t="s">
        <v>14</v>
      </c>
      <c r="AY15" s="306"/>
      <c r="AZ15" s="306"/>
      <c r="BA15" s="306"/>
      <c r="BB15" s="307"/>
      <c r="BC15" s="305" t="s">
        <v>12</v>
      </c>
      <c r="BD15" s="306"/>
      <c r="BE15" s="306"/>
      <c r="BF15" s="306"/>
      <c r="BG15" s="307"/>
      <c r="BH15" s="305" t="s">
        <v>17</v>
      </c>
      <c r="BI15" s="306"/>
      <c r="BJ15" s="306"/>
      <c r="BK15" s="306"/>
      <c r="BL15" s="307"/>
      <c r="BM15" s="305" t="s">
        <v>15</v>
      </c>
      <c r="BN15" s="306"/>
      <c r="BO15" s="306"/>
      <c r="BP15" s="306"/>
      <c r="BQ15" s="307"/>
    </row>
    <row r="16" spans="1:69" ht="29.45" customHeight="1" outlineLevel="1" thickBot="1" x14ac:dyDescent="0.3">
      <c r="A16" s="87" t="s">
        <v>6</v>
      </c>
      <c r="B16" s="41" t="s">
        <v>8</v>
      </c>
      <c r="C16" s="41" t="s">
        <v>3</v>
      </c>
      <c r="D16" s="308" t="s">
        <v>65</v>
      </c>
      <c r="E16" s="309"/>
      <c r="F16" s="42" t="s">
        <v>10</v>
      </c>
      <c r="G16" s="42" t="s">
        <v>0</v>
      </c>
      <c r="H16" s="42" t="s">
        <v>21</v>
      </c>
      <c r="I16" s="42" t="s">
        <v>29</v>
      </c>
      <c r="J16" s="42" t="s">
        <v>28</v>
      </c>
      <c r="K16" s="42" t="s">
        <v>22</v>
      </c>
      <c r="L16" s="42" t="s">
        <v>48</v>
      </c>
      <c r="M16" s="37" t="s">
        <v>21</v>
      </c>
      <c r="N16" s="36" t="s">
        <v>29</v>
      </c>
      <c r="O16" s="37" t="s">
        <v>28</v>
      </c>
      <c r="P16" s="36" t="s">
        <v>22</v>
      </c>
      <c r="Q16" s="37" t="s">
        <v>48</v>
      </c>
      <c r="R16" s="45" t="s">
        <v>21</v>
      </c>
      <c r="S16" s="48" t="s">
        <v>29</v>
      </c>
      <c r="T16" s="45" t="s">
        <v>28</v>
      </c>
      <c r="U16" s="48" t="s">
        <v>22</v>
      </c>
      <c r="V16" s="45" t="s">
        <v>48</v>
      </c>
      <c r="W16" s="57"/>
      <c r="X16" s="57"/>
      <c r="Y16" s="57"/>
      <c r="Z16" s="57"/>
      <c r="AA16" s="57"/>
      <c r="AB16" s="57"/>
      <c r="AC16" s="57"/>
      <c r="AD16" s="79" t="s">
        <v>21</v>
      </c>
      <c r="AE16" s="52" t="s">
        <v>29</v>
      </c>
      <c r="AF16" s="52" t="s">
        <v>28</v>
      </c>
      <c r="AG16" s="52" t="s">
        <v>22</v>
      </c>
      <c r="AH16" s="76" t="s">
        <v>48</v>
      </c>
      <c r="AI16" s="79" t="s">
        <v>21</v>
      </c>
      <c r="AJ16" s="52" t="s">
        <v>29</v>
      </c>
      <c r="AK16" s="52" t="s">
        <v>28</v>
      </c>
      <c r="AL16" s="52" t="s">
        <v>22</v>
      </c>
      <c r="AM16" s="76" t="s">
        <v>48</v>
      </c>
      <c r="AN16" s="79" t="s">
        <v>21</v>
      </c>
      <c r="AO16" s="52" t="s">
        <v>29</v>
      </c>
      <c r="AP16" s="52" t="s">
        <v>28</v>
      </c>
      <c r="AQ16" s="52" t="s">
        <v>22</v>
      </c>
      <c r="AR16" s="76" t="s">
        <v>48</v>
      </c>
      <c r="AS16" s="79" t="s">
        <v>21</v>
      </c>
      <c r="AT16" s="52" t="s">
        <v>29</v>
      </c>
      <c r="AU16" s="52" t="s">
        <v>28</v>
      </c>
      <c r="AV16" s="52" t="s">
        <v>22</v>
      </c>
      <c r="AW16" s="76" t="s">
        <v>48</v>
      </c>
      <c r="AX16" s="79" t="s">
        <v>21</v>
      </c>
      <c r="AY16" s="52" t="s">
        <v>29</v>
      </c>
      <c r="AZ16" s="52" t="s">
        <v>28</v>
      </c>
      <c r="BA16" s="52" t="s">
        <v>22</v>
      </c>
      <c r="BB16" s="76" t="s">
        <v>48</v>
      </c>
      <c r="BC16" s="79" t="s">
        <v>21</v>
      </c>
      <c r="BD16" s="52" t="s">
        <v>29</v>
      </c>
      <c r="BE16" s="52" t="s">
        <v>28</v>
      </c>
      <c r="BF16" s="52" t="s">
        <v>22</v>
      </c>
      <c r="BG16" s="76"/>
      <c r="BH16" s="79" t="s">
        <v>21</v>
      </c>
      <c r="BI16" s="52" t="s">
        <v>29</v>
      </c>
      <c r="BJ16" s="52" t="s">
        <v>28</v>
      </c>
      <c r="BK16" s="52" t="s">
        <v>22</v>
      </c>
      <c r="BL16" s="76"/>
      <c r="BM16" s="79" t="s">
        <v>21</v>
      </c>
      <c r="BN16" s="52" t="s">
        <v>29</v>
      </c>
      <c r="BO16" s="52" t="s">
        <v>28</v>
      </c>
      <c r="BP16" s="52" t="s">
        <v>22</v>
      </c>
      <c r="BQ16" s="76" t="s">
        <v>48</v>
      </c>
    </row>
    <row r="17" spans="1:69" ht="128.25" customHeight="1" outlineLevel="1" x14ac:dyDescent="0.25">
      <c r="A17" s="88" t="s">
        <v>18</v>
      </c>
      <c r="B17" s="9" t="s">
        <v>143</v>
      </c>
      <c r="C17" s="9" t="s">
        <v>144</v>
      </c>
      <c r="D17" s="310" t="s">
        <v>163</v>
      </c>
      <c r="E17" s="311"/>
      <c r="F17" s="9" t="s">
        <v>20</v>
      </c>
      <c r="G17" s="9" t="s">
        <v>150</v>
      </c>
      <c r="H17" s="215">
        <v>0.98</v>
      </c>
      <c r="I17" s="215">
        <v>0.98</v>
      </c>
      <c r="J17" s="215">
        <v>1</v>
      </c>
      <c r="K17" s="224">
        <f>(24000+45000)/86000</f>
        <v>0.80232558139534882</v>
      </c>
      <c r="L17" s="9"/>
      <c r="M17" s="217">
        <v>1</v>
      </c>
      <c r="N17" s="218">
        <v>1</v>
      </c>
      <c r="O17" s="219">
        <v>1</v>
      </c>
      <c r="P17" s="218">
        <v>1</v>
      </c>
      <c r="Q17" s="219" t="s">
        <v>103</v>
      </c>
      <c r="R17" s="220">
        <v>1</v>
      </c>
      <c r="S17" s="221">
        <v>1</v>
      </c>
      <c r="T17" s="222">
        <v>1</v>
      </c>
      <c r="U17" s="221">
        <v>1</v>
      </c>
      <c r="V17" s="223" t="s">
        <v>103</v>
      </c>
      <c r="W17" s="57"/>
      <c r="X17" s="57"/>
      <c r="Y17" s="57"/>
      <c r="Z17" s="57"/>
      <c r="AA17" s="57"/>
      <c r="AB17" s="57"/>
      <c r="AC17" s="81" t="s">
        <v>18</v>
      </c>
      <c r="AD17" s="275">
        <v>1</v>
      </c>
      <c r="AE17" s="276">
        <v>1</v>
      </c>
      <c r="AF17" s="276">
        <v>1</v>
      </c>
      <c r="AG17" s="276">
        <v>1</v>
      </c>
      <c r="AH17" s="151"/>
      <c r="AI17" s="275">
        <v>1</v>
      </c>
      <c r="AJ17" s="276">
        <v>1</v>
      </c>
      <c r="AK17" s="276">
        <v>1</v>
      </c>
      <c r="AL17" s="276">
        <v>1</v>
      </c>
      <c r="AM17" s="151"/>
      <c r="AN17" s="275">
        <v>1</v>
      </c>
      <c r="AO17" s="276">
        <v>1</v>
      </c>
      <c r="AP17" s="276">
        <v>1</v>
      </c>
      <c r="AQ17" s="276">
        <v>1</v>
      </c>
      <c r="AR17" s="151"/>
      <c r="AS17" s="275">
        <v>1</v>
      </c>
      <c r="AT17" s="276">
        <v>1</v>
      </c>
      <c r="AU17" s="276">
        <v>1</v>
      </c>
      <c r="AV17" s="276">
        <v>1</v>
      </c>
      <c r="AW17" s="151"/>
      <c r="AX17" s="275">
        <v>1</v>
      </c>
      <c r="AY17" s="276">
        <v>1</v>
      </c>
      <c r="AZ17" s="276">
        <v>1</v>
      </c>
      <c r="BA17" s="276">
        <v>1</v>
      </c>
      <c r="BB17" s="151"/>
      <c r="BC17" s="275">
        <v>1</v>
      </c>
      <c r="BD17" s="276">
        <v>1</v>
      </c>
      <c r="BE17" s="276">
        <v>1</v>
      </c>
      <c r="BF17" s="276">
        <v>1</v>
      </c>
      <c r="BG17" s="151"/>
      <c r="BH17" s="275">
        <v>1</v>
      </c>
      <c r="BI17" s="276">
        <v>1</v>
      </c>
      <c r="BJ17" s="276">
        <v>1</v>
      </c>
      <c r="BK17" s="276">
        <v>1</v>
      </c>
      <c r="BL17" s="151"/>
      <c r="BM17" s="275">
        <v>1</v>
      </c>
      <c r="BN17" s="276">
        <v>1</v>
      </c>
      <c r="BO17" s="276">
        <v>1</v>
      </c>
      <c r="BP17" s="276">
        <v>1</v>
      </c>
      <c r="BQ17" s="77"/>
    </row>
    <row r="18" spans="1:69" ht="108.95" customHeight="1" outlineLevel="1" x14ac:dyDescent="0.25">
      <c r="A18" s="88" t="s">
        <v>19</v>
      </c>
      <c r="B18" s="9" t="s">
        <v>164</v>
      </c>
      <c r="C18" s="9" t="s">
        <v>165</v>
      </c>
      <c r="D18" s="343" t="s">
        <v>149</v>
      </c>
      <c r="E18" s="344"/>
      <c r="F18" s="9" t="s">
        <v>70</v>
      </c>
      <c r="G18" s="9" t="s">
        <v>151</v>
      </c>
      <c r="H18" s="234">
        <f>190000*0.8</f>
        <v>152000</v>
      </c>
      <c r="I18" s="234">
        <v>10500</v>
      </c>
      <c r="J18" s="206">
        <v>720</v>
      </c>
      <c r="K18" s="206">
        <f>190000*0.13</f>
        <v>24700</v>
      </c>
      <c r="L18" s="206"/>
      <c r="M18" s="43">
        <v>255955.86166500856</v>
      </c>
      <c r="N18" s="40">
        <v>9000</v>
      </c>
      <c r="O18" s="39">
        <v>800</v>
      </c>
      <c r="P18" s="40">
        <f>35000+2000</f>
        <v>37000</v>
      </c>
      <c r="Q18" s="39" t="s">
        <v>103</v>
      </c>
      <c r="R18" s="46">
        <v>255955.86166500856</v>
      </c>
      <c r="S18" s="49">
        <v>9270</v>
      </c>
      <c r="T18" s="47">
        <v>800</v>
      </c>
      <c r="U18" s="49">
        <v>35000</v>
      </c>
      <c r="V18" s="160" t="s">
        <v>103</v>
      </c>
      <c r="W18" s="57"/>
      <c r="X18" s="57"/>
      <c r="Y18" s="57"/>
      <c r="Z18" s="57"/>
      <c r="AA18" s="57"/>
      <c r="AB18" s="57"/>
      <c r="AC18" s="81"/>
      <c r="AD18" s="149">
        <v>26632.135622718914</v>
      </c>
      <c r="AE18" s="150">
        <v>580.53456923369947</v>
      </c>
      <c r="AF18" s="150"/>
      <c r="AG18" s="150">
        <f>5950+766</f>
        <v>6716</v>
      </c>
      <c r="AH18" s="151"/>
      <c r="AI18" s="149">
        <v>36985.860471792694</v>
      </c>
      <c r="AJ18" s="150">
        <v>810.51996698622304</v>
      </c>
      <c r="AK18" s="150"/>
      <c r="AL18" s="150">
        <f>8631+70</f>
        <v>8701</v>
      </c>
      <c r="AM18" s="151"/>
      <c r="AN18" s="149">
        <v>56118.177389482516</v>
      </c>
      <c r="AO18" s="150">
        <v>2001.3015046663704</v>
      </c>
      <c r="AP18" s="150"/>
      <c r="AQ18" s="150">
        <f>6751.5+98</f>
        <v>6849.5</v>
      </c>
      <c r="AR18" s="151"/>
      <c r="AS18" s="149">
        <v>4936.2847486658447</v>
      </c>
      <c r="AT18" s="150">
        <v>194.84477176052314</v>
      </c>
      <c r="AU18" s="150"/>
      <c r="AV18" s="150">
        <f>308+41</f>
        <v>349</v>
      </c>
      <c r="AW18" s="151"/>
      <c r="AX18" s="149">
        <v>66640.691640710604</v>
      </c>
      <c r="AY18" s="150">
        <v>1053.0759951749096</v>
      </c>
      <c r="AZ18" s="150">
        <v>800</v>
      </c>
      <c r="BA18" s="150">
        <f>3307.5+240</f>
        <v>3547.5</v>
      </c>
      <c r="BB18" s="151"/>
      <c r="BC18" s="149">
        <v>38967.41480804926</v>
      </c>
      <c r="BD18" s="150">
        <v>541.39419719382897</v>
      </c>
      <c r="BE18" s="150"/>
      <c r="BF18" s="150">
        <f>4490.5+693</f>
        <v>5183.5</v>
      </c>
      <c r="BG18" s="151"/>
      <c r="BH18" s="149">
        <v>16004.557216917328</v>
      </c>
      <c r="BI18" s="150">
        <v>3661.4818106786875</v>
      </c>
      <c r="BJ18" s="150"/>
      <c r="BK18" s="150">
        <f>3624.25+22</f>
        <v>3646.25</v>
      </c>
      <c r="BL18" s="151"/>
      <c r="BM18" s="149">
        <v>9670.7397666714041</v>
      </c>
      <c r="BN18" s="150">
        <v>156.84718430575836</v>
      </c>
      <c r="BO18" s="150"/>
      <c r="BP18" s="150">
        <f>1937.25+71</f>
        <v>2008.25</v>
      </c>
      <c r="BQ18" s="77"/>
    </row>
    <row r="19" spans="1:69" ht="80.25" customHeight="1" outlineLevel="1" x14ac:dyDescent="0.25">
      <c r="A19" s="88" t="s">
        <v>109</v>
      </c>
      <c r="B19" s="9" t="s">
        <v>214</v>
      </c>
      <c r="C19" s="9" t="s">
        <v>215</v>
      </c>
      <c r="D19" s="341" t="s">
        <v>81</v>
      </c>
      <c r="E19" s="342"/>
      <c r="F19" s="9" t="s">
        <v>213</v>
      </c>
      <c r="G19" s="9" t="s">
        <v>151</v>
      </c>
      <c r="H19" s="234"/>
      <c r="I19" s="234"/>
      <c r="J19" s="206"/>
      <c r="K19" s="206"/>
      <c r="L19" s="206"/>
      <c r="M19" s="43">
        <v>95000</v>
      </c>
      <c r="N19" s="40"/>
      <c r="O19" s="281">
        <v>15000</v>
      </c>
      <c r="P19" s="282">
        <v>150000</v>
      </c>
      <c r="Q19" s="130" t="s">
        <v>103</v>
      </c>
      <c r="R19" s="133" t="s">
        <v>103</v>
      </c>
      <c r="S19" s="132" t="s">
        <v>103</v>
      </c>
      <c r="T19" s="133" t="s">
        <v>103</v>
      </c>
      <c r="U19" s="132" t="s">
        <v>103</v>
      </c>
      <c r="V19" s="133" t="s">
        <v>103</v>
      </c>
      <c r="W19" s="57"/>
      <c r="X19" s="57"/>
      <c r="Y19" s="57"/>
      <c r="Z19" s="57"/>
      <c r="AA19" s="57"/>
      <c r="AB19" s="57"/>
      <c r="AC19" s="81"/>
      <c r="AD19" s="149"/>
      <c r="AE19" s="150"/>
      <c r="AF19" s="150"/>
      <c r="AG19" s="150"/>
      <c r="AH19" s="151"/>
      <c r="AI19" s="149"/>
      <c r="AJ19" s="150"/>
      <c r="AK19" s="150"/>
      <c r="AL19" s="150"/>
      <c r="AM19" s="151"/>
      <c r="AN19" s="149"/>
      <c r="AO19" s="150"/>
      <c r="AP19" s="150"/>
      <c r="AQ19" s="150"/>
      <c r="AR19" s="151"/>
      <c r="AS19" s="149"/>
      <c r="AT19" s="150"/>
      <c r="AU19" s="150"/>
      <c r="AV19" s="150"/>
      <c r="AW19" s="151"/>
      <c r="AX19" s="149"/>
      <c r="AY19" s="150"/>
      <c r="AZ19" s="150"/>
      <c r="BA19" s="150"/>
      <c r="BB19" s="151"/>
      <c r="BC19" s="149"/>
      <c r="BD19" s="150"/>
      <c r="BE19" s="150"/>
      <c r="BF19" s="150"/>
      <c r="BG19" s="151"/>
      <c r="BH19" s="149"/>
      <c r="BI19" s="150"/>
      <c r="BJ19" s="150"/>
      <c r="BK19" s="150"/>
      <c r="BL19" s="151"/>
      <c r="BM19" s="149"/>
      <c r="BN19" s="150"/>
      <c r="BO19" s="150"/>
      <c r="BP19" s="150"/>
      <c r="BQ19" s="77"/>
    </row>
    <row r="20" spans="1:69" ht="42.75" customHeight="1" outlineLevel="1" x14ac:dyDescent="0.25">
      <c r="A20" s="205" t="s">
        <v>207</v>
      </c>
      <c r="B20" s="206" t="s">
        <v>80</v>
      </c>
      <c r="C20" s="206" t="s">
        <v>73</v>
      </c>
      <c r="D20" s="341" t="s">
        <v>81</v>
      </c>
      <c r="E20" s="342"/>
      <c r="F20" s="206" t="s">
        <v>70</v>
      </c>
      <c r="G20" s="206" t="s">
        <v>82</v>
      </c>
      <c r="H20" s="206" t="s">
        <v>103</v>
      </c>
      <c r="I20" s="206" t="s">
        <v>103</v>
      </c>
      <c r="J20" s="206" t="s">
        <v>103</v>
      </c>
      <c r="K20" s="206" t="s">
        <v>103</v>
      </c>
      <c r="L20" s="206" t="s">
        <v>103</v>
      </c>
      <c r="M20" s="130">
        <v>15000</v>
      </c>
      <c r="N20" s="129" t="s">
        <v>103</v>
      </c>
      <c r="O20" s="130" t="s">
        <v>103</v>
      </c>
      <c r="P20" s="129" t="s">
        <v>103</v>
      </c>
      <c r="Q20" s="130" t="s">
        <v>103</v>
      </c>
      <c r="R20" s="133" t="s">
        <v>103</v>
      </c>
      <c r="S20" s="132" t="s">
        <v>103</v>
      </c>
      <c r="T20" s="133" t="s">
        <v>103</v>
      </c>
      <c r="U20" s="132" t="s">
        <v>103</v>
      </c>
      <c r="V20" s="133" t="s">
        <v>103</v>
      </c>
      <c r="W20" s="57"/>
      <c r="X20" s="57"/>
      <c r="Y20" s="57"/>
      <c r="Z20" s="57"/>
      <c r="AA20" s="57"/>
      <c r="AB20" s="57"/>
      <c r="AC20" s="82" t="s">
        <v>19</v>
      </c>
      <c r="AD20" s="80" t="s">
        <v>103</v>
      </c>
      <c r="AE20" s="53" t="s">
        <v>103</v>
      </c>
      <c r="AF20" s="53" t="s">
        <v>103</v>
      </c>
      <c r="AG20" s="53" t="s">
        <v>103</v>
      </c>
      <c r="AH20" s="78" t="s">
        <v>103</v>
      </c>
      <c r="AI20" s="80" t="s">
        <v>103</v>
      </c>
      <c r="AJ20" s="53" t="s">
        <v>103</v>
      </c>
      <c r="AK20" s="53" t="s">
        <v>103</v>
      </c>
      <c r="AL20" s="53" t="s">
        <v>103</v>
      </c>
      <c r="AM20" s="78" t="s">
        <v>103</v>
      </c>
      <c r="AN20" s="80" t="s">
        <v>103</v>
      </c>
      <c r="AO20" s="53" t="s">
        <v>103</v>
      </c>
      <c r="AP20" s="53" t="s">
        <v>103</v>
      </c>
      <c r="AQ20" s="53" t="s">
        <v>103</v>
      </c>
      <c r="AR20" s="78" t="s">
        <v>103</v>
      </c>
      <c r="AS20" s="80" t="s">
        <v>103</v>
      </c>
      <c r="AT20" s="53" t="s">
        <v>103</v>
      </c>
      <c r="AU20" s="53" t="s">
        <v>103</v>
      </c>
      <c r="AV20" s="53" t="s">
        <v>103</v>
      </c>
      <c r="AW20" s="78" t="s">
        <v>103</v>
      </c>
      <c r="AX20" s="80" t="s">
        <v>103</v>
      </c>
      <c r="AY20" s="53" t="s">
        <v>103</v>
      </c>
      <c r="AZ20" s="53" t="s">
        <v>103</v>
      </c>
      <c r="BA20" s="53" t="s">
        <v>103</v>
      </c>
      <c r="BB20" s="78" t="s">
        <v>103</v>
      </c>
      <c r="BC20" s="80" t="s">
        <v>103</v>
      </c>
      <c r="BD20" s="53" t="s">
        <v>103</v>
      </c>
      <c r="BE20" s="53" t="s">
        <v>103</v>
      </c>
      <c r="BF20" s="53" t="s">
        <v>103</v>
      </c>
      <c r="BG20" s="78" t="s">
        <v>103</v>
      </c>
      <c r="BH20" s="80" t="s">
        <v>103</v>
      </c>
      <c r="BI20" s="53" t="s">
        <v>103</v>
      </c>
      <c r="BJ20" s="53" t="s">
        <v>103</v>
      </c>
      <c r="BK20" s="53" t="s">
        <v>103</v>
      </c>
      <c r="BL20" s="78" t="s">
        <v>103</v>
      </c>
      <c r="BM20" s="80" t="s">
        <v>103</v>
      </c>
      <c r="BN20" s="53" t="s">
        <v>103</v>
      </c>
      <c r="BO20" s="53" t="s">
        <v>103</v>
      </c>
      <c r="BP20" s="53" t="s">
        <v>103</v>
      </c>
      <c r="BQ20" s="78" t="s">
        <v>103</v>
      </c>
    </row>
    <row r="21" spans="1:69" ht="31.5" customHeight="1" outlineLevel="1" x14ac:dyDescent="0.35">
      <c r="A21" s="57"/>
      <c r="B21" s="85"/>
      <c r="C21" s="85"/>
      <c r="D21" s="85"/>
      <c r="E21" s="85"/>
      <c r="F21" s="85"/>
      <c r="G21" s="85"/>
      <c r="H21" s="85"/>
      <c r="I21" s="85"/>
      <c r="J21" s="85"/>
      <c r="K21" s="162"/>
      <c r="L21" s="57"/>
      <c r="M21" s="57"/>
      <c r="N21" s="57"/>
      <c r="O21" s="57"/>
      <c r="P21" s="242"/>
      <c r="Q21" s="57"/>
      <c r="R21" s="7"/>
      <c r="S21" s="7"/>
      <c r="T21" s="57"/>
      <c r="U21" s="57"/>
      <c r="V21" s="57"/>
      <c r="W21" s="57"/>
      <c r="X21" s="116"/>
      <c r="Y21" s="117"/>
      <c r="Z21" s="117"/>
      <c r="AA21" s="117"/>
      <c r="AB21" s="117"/>
      <c r="AC21" s="117"/>
      <c r="AD21" s="117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84"/>
      <c r="BM21" s="84"/>
    </row>
    <row r="22" spans="1:69" ht="21" outlineLevel="1" x14ac:dyDescent="0.35">
      <c r="A22" s="126" t="s">
        <v>83</v>
      </c>
      <c r="B22" s="126"/>
      <c r="C22" s="126"/>
      <c r="D22" s="126"/>
      <c r="E22" s="126"/>
      <c r="F22" s="126"/>
      <c r="G22" s="126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57"/>
      <c r="S22" s="57"/>
      <c r="T22" s="57"/>
      <c r="U22" s="57"/>
      <c r="V22" s="57"/>
      <c r="W22" s="57"/>
      <c r="X22" s="8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84"/>
    </row>
    <row r="23" spans="1:69" ht="21" outlineLevel="1" x14ac:dyDescent="0.25">
      <c r="A23" s="302" t="s">
        <v>128</v>
      </c>
      <c r="B23" s="303"/>
      <c r="C23" s="303"/>
      <c r="D23" s="303"/>
      <c r="E23" s="303"/>
      <c r="F23" s="303"/>
      <c r="G23" s="303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57"/>
      <c r="S23" s="57"/>
      <c r="T23" s="57"/>
      <c r="U23" s="57"/>
      <c r="V23" s="57"/>
      <c r="W23" s="57"/>
      <c r="X23" s="84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72"/>
      <c r="AT23" s="272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84"/>
    </row>
    <row r="24" spans="1:69" ht="21" outlineLevel="1" x14ac:dyDescent="0.25">
      <c r="A24" s="300" t="s">
        <v>127</v>
      </c>
      <c r="B24" s="301"/>
      <c r="C24" s="301"/>
      <c r="D24" s="301"/>
      <c r="E24" s="301"/>
      <c r="F24" s="301"/>
      <c r="G24" s="30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57"/>
      <c r="S24" s="57"/>
      <c r="T24" s="57"/>
      <c r="U24" s="57"/>
      <c r="V24" s="57"/>
      <c r="W24" s="57"/>
      <c r="X24" s="84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72"/>
      <c r="AT24" s="272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84"/>
    </row>
    <row r="25" spans="1:69" ht="21" customHeight="1" outlineLevel="1" x14ac:dyDescent="0.25">
      <c r="A25" s="302" t="s">
        <v>129</v>
      </c>
      <c r="B25" s="303"/>
      <c r="C25" s="303"/>
      <c r="D25" s="303"/>
      <c r="E25" s="303"/>
      <c r="F25" s="303"/>
      <c r="G25" s="303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57"/>
      <c r="S25" s="57"/>
      <c r="T25" s="57"/>
      <c r="U25" s="57"/>
      <c r="V25" s="57"/>
      <c r="W25" s="57"/>
      <c r="X25" s="84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72"/>
      <c r="AT25" s="272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84"/>
    </row>
    <row r="26" spans="1:69" ht="21" outlineLevel="1" x14ac:dyDescent="0.25">
      <c r="A26" s="300" t="s">
        <v>84</v>
      </c>
      <c r="B26" s="301"/>
      <c r="C26" s="301"/>
      <c r="D26" s="301"/>
      <c r="E26" s="301"/>
      <c r="F26" s="301"/>
      <c r="G26" s="30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57"/>
      <c r="S26" s="57"/>
      <c r="T26" s="57"/>
      <c r="U26" s="57"/>
      <c r="V26" s="57"/>
      <c r="W26" s="57"/>
      <c r="X26" s="84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72"/>
      <c r="AT26" s="272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84"/>
    </row>
    <row r="27" spans="1:69" ht="21" outlineLevel="1" x14ac:dyDescent="0.25">
      <c r="A27" s="302" t="s">
        <v>130</v>
      </c>
      <c r="B27" s="303"/>
      <c r="C27" s="303"/>
      <c r="D27" s="303"/>
      <c r="E27" s="303"/>
      <c r="F27" s="303"/>
      <c r="G27" s="303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57"/>
      <c r="S27" s="57"/>
      <c r="T27" s="57"/>
      <c r="U27" s="57"/>
      <c r="V27" s="57"/>
      <c r="W27" s="57"/>
      <c r="X27" s="84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72"/>
      <c r="AT27" s="272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84"/>
    </row>
    <row r="28" spans="1:69" ht="21" outlineLevel="1" x14ac:dyDescent="0.25">
      <c r="A28" s="300" t="s">
        <v>216</v>
      </c>
      <c r="B28" s="301"/>
      <c r="C28" s="301"/>
      <c r="D28" s="301"/>
      <c r="E28" s="301"/>
      <c r="F28" s="301"/>
      <c r="G28" s="30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57"/>
      <c r="S28" s="57"/>
      <c r="T28" s="57"/>
      <c r="U28" s="57"/>
      <c r="V28" s="57"/>
      <c r="W28" s="57"/>
      <c r="X28" s="84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72"/>
      <c r="AT28" s="272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84"/>
    </row>
    <row r="29" spans="1:69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273"/>
      <c r="AT29" s="273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</row>
    <row r="30" spans="1:69" s="1" customFormat="1" ht="50.25" customHeight="1" x14ac:dyDescent="0.25">
      <c r="A30" s="327" t="s">
        <v>85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274"/>
      <c r="AT30" s="274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7"/>
      <c r="BJ30" s="7"/>
      <c r="BK30" s="7"/>
      <c r="BL30" s="7"/>
    </row>
    <row r="31" spans="1:69" s="12" customFormat="1" ht="27.75" customHeight="1" x14ac:dyDescent="0.35">
      <c r="A31" s="93"/>
      <c r="B31" s="93"/>
      <c r="C31" s="93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274"/>
      <c r="AT31" s="274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9" s="1" customFormat="1" ht="29.25" customHeight="1" outlineLevel="1" thickBot="1" x14ac:dyDescent="0.4">
      <c r="A32" s="57"/>
      <c r="B32" s="104" t="s">
        <v>9</v>
      </c>
      <c r="C32" s="105" t="s">
        <v>50</v>
      </c>
      <c r="D32" s="106">
        <v>2018</v>
      </c>
      <c r="E32" s="107">
        <v>2019</v>
      </c>
      <c r="F32" s="329">
        <v>2020</v>
      </c>
      <c r="G32" s="330"/>
      <c r="H32" s="85"/>
      <c r="I32" s="85"/>
      <c r="J32" s="85"/>
      <c r="K32" s="85"/>
      <c r="L32" s="85"/>
      <c r="M32" s="85"/>
      <c r="N32" s="7"/>
      <c r="O32" s="7"/>
      <c r="P32" s="7"/>
      <c r="Q32" s="328"/>
      <c r="R32" s="328"/>
      <c r="S32" s="328"/>
      <c r="T32" s="328"/>
      <c r="U32" s="328"/>
      <c r="V32" s="32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9" s="1" customFormat="1" ht="23.45" customHeight="1" outlineLevel="1" x14ac:dyDescent="0.35">
      <c r="A33" s="7"/>
      <c r="B33" s="108" t="s">
        <v>26</v>
      </c>
      <c r="C33" s="109">
        <f>ROUND(8840000+136*2000,-5)</f>
        <v>9100000</v>
      </c>
      <c r="D33" s="110">
        <f>C33</f>
        <v>9100000</v>
      </c>
      <c r="E33" s="111" t="s">
        <v>45</v>
      </c>
      <c r="F33" s="318" t="s">
        <v>46</v>
      </c>
      <c r="G33" s="319"/>
      <c r="H33" s="85"/>
      <c r="I33" s="85"/>
      <c r="J33" s="85"/>
      <c r="K33" s="85"/>
      <c r="L33" s="85"/>
      <c r="M33" s="85"/>
      <c r="N33" s="7"/>
      <c r="O33" s="7"/>
      <c r="P33" s="125"/>
      <c r="Q33" s="125"/>
      <c r="R33" s="125"/>
      <c r="S33" s="125"/>
      <c r="T33" s="12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9" s="1" customFormat="1" ht="23.45" customHeight="1" outlineLevel="1" x14ac:dyDescent="0.35">
      <c r="A34" s="57"/>
      <c r="B34" s="112" t="s">
        <v>24</v>
      </c>
      <c r="C34" s="113">
        <v>0.85</v>
      </c>
      <c r="D34" s="114">
        <f>C34</f>
        <v>0.85</v>
      </c>
      <c r="E34" s="115" t="s">
        <v>45</v>
      </c>
      <c r="F34" s="320" t="s">
        <v>46</v>
      </c>
      <c r="G34" s="321"/>
      <c r="H34" s="85"/>
      <c r="I34" s="85"/>
      <c r="J34" s="85"/>
      <c r="K34" s="85"/>
      <c r="L34" s="85"/>
      <c r="M34" s="85"/>
      <c r="N34" s="85"/>
      <c r="O34" s="85"/>
      <c r="P34" s="85"/>
      <c r="Q34" s="7"/>
      <c r="R34" s="7"/>
      <c r="S34" s="7"/>
      <c r="T34" s="125"/>
      <c r="U34" s="125"/>
      <c r="V34" s="125"/>
      <c r="W34" s="125"/>
      <c r="X34" s="125"/>
      <c r="Y34" s="125"/>
      <c r="Z34" s="125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9" s="1" customFormat="1" ht="23.45" customHeight="1" outlineLevel="1" x14ac:dyDescent="0.35">
      <c r="A35" s="57"/>
      <c r="B35" s="112" t="s">
        <v>25</v>
      </c>
      <c r="C35" s="113">
        <v>0.15</v>
      </c>
      <c r="D35" s="114">
        <f>C35</f>
        <v>0.15</v>
      </c>
      <c r="E35" s="115" t="s">
        <v>45</v>
      </c>
      <c r="F35" s="320" t="s">
        <v>46</v>
      </c>
      <c r="G35" s="321"/>
      <c r="H35" s="85"/>
      <c r="I35" s="85"/>
      <c r="J35" s="85"/>
      <c r="K35" s="85"/>
      <c r="L35" s="85"/>
      <c r="M35" s="85"/>
      <c r="N35" s="85"/>
      <c r="O35" s="85"/>
      <c r="P35" s="85"/>
      <c r="Q35" s="7"/>
      <c r="R35" s="7"/>
      <c r="S35" s="7"/>
      <c r="T35" s="125"/>
      <c r="U35" s="125"/>
      <c r="V35" s="125"/>
      <c r="W35" s="125"/>
      <c r="X35" s="125"/>
      <c r="Y35" s="125"/>
      <c r="Z35" s="12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9" s="1" customFormat="1" ht="19.5" customHeight="1" outlineLevel="1" x14ac:dyDescent="0.35">
      <c r="A36" s="57"/>
      <c r="B36" s="3"/>
      <c r="C36" s="3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7"/>
      <c r="W36" s="7"/>
      <c r="X36" s="7"/>
      <c r="Y36" s="7"/>
      <c r="Z36" s="7"/>
      <c r="AA36" s="7"/>
      <c r="AB36" s="7"/>
      <c r="AC36" s="95" t="s">
        <v>47</v>
      </c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ht="21" outlineLevel="1" x14ac:dyDescent="0.35">
      <c r="A37" s="322" t="s">
        <v>86</v>
      </c>
      <c r="B37" s="322"/>
      <c r="C37" s="322"/>
      <c r="D37" s="322"/>
      <c r="E37" s="322"/>
      <c r="F37" s="322"/>
      <c r="G37" s="323"/>
      <c r="H37" s="345" t="s">
        <v>1</v>
      </c>
      <c r="I37" s="346"/>
      <c r="J37" s="346"/>
      <c r="K37" s="346"/>
      <c r="L37" s="347"/>
      <c r="M37" s="324" t="s">
        <v>42</v>
      </c>
      <c r="N37" s="325"/>
      <c r="O37" s="325"/>
      <c r="P37" s="325"/>
      <c r="Q37" s="326"/>
      <c r="R37" s="312" t="s">
        <v>49</v>
      </c>
      <c r="S37" s="313"/>
      <c r="T37" s="313"/>
      <c r="U37" s="313"/>
      <c r="V37" s="314"/>
      <c r="W37" s="57"/>
      <c r="X37" s="57"/>
      <c r="Y37" s="57"/>
      <c r="Z37" s="57"/>
      <c r="AA37" s="57"/>
      <c r="AB37" s="57"/>
      <c r="AC37" s="57"/>
      <c r="AD37" s="305" t="s">
        <v>11</v>
      </c>
      <c r="AE37" s="306"/>
      <c r="AF37" s="306"/>
      <c r="AG37" s="306"/>
      <c r="AH37" s="307"/>
      <c r="AI37" s="305" t="s">
        <v>16</v>
      </c>
      <c r="AJ37" s="306"/>
      <c r="AK37" s="306"/>
      <c r="AL37" s="306"/>
      <c r="AM37" s="307"/>
      <c r="AN37" s="305" t="s">
        <v>23</v>
      </c>
      <c r="AO37" s="306"/>
      <c r="AP37" s="306"/>
      <c r="AQ37" s="306"/>
      <c r="AR37" s="307"/>
      <c r="AS37" s="305" t="s">
        <v>13</v>
      </c>
      <c r="AT37" s="306"/>
      <c r="AU37" s="306"/>
      <c r="AV37" s="306"/>
      <c r="AW37" s="307"/>
      <c r="AX37" s="305" t="s">
        <v>14</v>
      </c>
      <c r="AY37" s="306"/>
      <c r="AZ37" s="306"/>
      <c r="BA37" s="306"/>
      <c r="BB37" s="307"/>
      <c r="BC37" s="305" t="s">
        <v>12</v>
      </c>
      <c r="BD37" s="306"/>
      <c r="BE37" s="306"/>
      <c r="BF37" s="306"/>
      <c r="BG37" s="307"/>
      <c r="BH37" s="305" t="s">
        <v>17</v>
      </c>
      <c r="BI37" s="306"/>
      <c r="BJ37" s="306"/>
      <c r="BK37" s="306"/>
      <c r="BL37" s="307"/>
      <c r="BM37" s="305" t="s">
        <v>15</v>
      </c>
      <c r="BN37" s="306"/>
      <c r="BO37" s="306"/>
      <c r="BP37" s="306"/>
      <c r="BQ37" s="307"/>
    </row>
    <row r="38" spans="1:69" ht="29.45" customHeight="1" outlineLevel="1" thickBot="1" x14ac:dyDescent="0.3">
      <c r="A38" s="87" t="s">
        <v>6</v>
      </c>
      <c r="B38" s="41" t="s">
        <v>8</v>
      </c>
      <c r="C38" s="41" t="s">
        <v>3</v>
      </c>
      <c r="D38" s="308" t="s">
        <v>65</v>
      </c>
      <c r="E38" s="309"/>
      <c r="F38" s="42" t="s">
        <v>10</v>
      </c>
      <c r="G38" s="42" t="s">
        <v>0</v>
      </c>
      <c r="H38" s="42" t="s">
        <v>21</v>
      </c>
      <c r="I38" s="42" t="s">
        <v>29</v>
      </c>
      <c r="J38" s="42" t="s">
        <v>28</v>
      </c>
      <c r="K38" s="42" t="s">
        <v>22</v>
      </c>
      <c r="L38" s="42" t="s">
        <v>48</v>
      </c>
      <c r="M38" s="37" t="s">
        <v>21</v>
      </c>
      <c r="N38" s="36" t="s">
        <v>29</v>
      </c>
      <c r="O38" s="37" t="s">
        <v>28</v>
      </c>
      <c r="P38" s="36" t="s">
        <v>22</v>
      </c>
      <c r="Q38" s="37" t="s">
        <v>48</v>
      </c>
      <c r="R38" s="45" t="s">
        <v>21</v>
      </c>
      <c r="S38" s="48" t="s">
        <v>29</v>
      </c>
      <c r="T38" s="45" t="s">
        <v>28</v>
      </c>
      <c r="U38" s="48" t="s">
        <v>22</v>
      </c>
      <c r="V38" s="45" t="s">
        <v>48</v>
      </c>
      <c r="W38" s="57"/>
      <c r="X38" s="57"/>
      <c r="Y38" s="57"/>
      <c r="Z38" s="57"/>
      <c r="AA38" s="57"/>
      <c r="AB38" s="57"/>
      <c r="AC38" s="57"/>
      <c r="AD38" s="79" t="s">
        <v>21</v>
      </c>
      <c r="AE38" s="52" t="s">
        <v>29</v>
      </c>
      <c r="AF38" s="52" t="s">
        <v>28</v>
      </c>
      <c r="AG38" s="52" t="s">
        <v>22</v>
      </c>
      <c r="AH38" s="76" t="s">
        <v>48</v>
      </c>
      <c r="AI38" s="79" t="s">
        <v>21</v>
      </c>
      <c r="AJ38" s="52" t="s">
        <v>29</v>
      </c>
      <c r="AK38" s="52" t="s">
        <v>28</v>
      </c>
      <c r="AL38" s="52" t="s">
        <v>22</v>
      </c>
      <c r="AM38" s="76" t="s">
        <v>48</v>
      </c>
      <c r="AN38" s="79" t="s">
        <v>21</v>
      </c>
      <c r="AO38" s="52" t="s">
        <v>29</v>
      </c>
      <c r="AP38" s="52" t="s">
        <v>28</v>
      </c>
      <c r="AQ38" s="52" t="s">
        <v>22</v>
      </c>
      <c r="AR38" s="76" t="s">
        <v>48</v>
      </c>
      <c r="AS38" s="79" t="s">
        <v>21</v>
      </c>
      <c r="AT38" s="52" t="s">
        <v>29</v>
      </c>
      <c r="AU38" s="52" t="s">
        <v>28</v>
      </c>
      <c r="AV38" s="52" t="s">
        <v>22</v>
      </c>
      <c r="AW38" s="76" t="s">
        <v>48</v>
      </c>
      <c r="AX38" s="79" t="s">
        <v>21</v>
      </c>
      <c r="AY38" s="52" t="s">
        <v>29</v>
      </c>
      <c r="AZ38" s="52" t="s">
        <v>28</v>
      </c>
      <c r="BA38" s="52" t="s">
        <v>22</v>
      </c>
      <c r="BB38" s="76" t="s">
        <v>48</v>
      </c>
      <c r="BC38" s="79" t="s">
        <v>21</v>
      </c>
      <c r="BD38" s="52" t="s">
        <v>29</v>
      </c>
      <c r="BE38" s="52" t="s">
        <v>28</v>
      </c>
      <c r="BF38" s="52" t="s">
        <v>22</v>
      </c>
      <c r="BG38" s="76"/>
      <c r="BH38" s="79" t="s">
        <v>21</v>
      </c>
      <c r="BI38" s="52" t="s">
        <v>29</v>
      </c>
      <c r="BJ38" s="52" t="s">
        <v>28</v>
      </c>
      <c r="BK38" s="52" t="s">
        <v>22</v>
      </c>
      <c r="BL38" s="76"/>
      <c r="BM38" s="79" t="s">
        <v>21</v>
      </c>
      <c r="BN38" s="52" t="s">
        <v>29</v>
      </c>
      <c r="BO38" s="52" t="s">
        <v>28</v>
      </c>
      <c r="BP38" s="52" t="s">
        <v>22</v>
      </c>
      <c r="BQ38" s="76" t="s">
        <v>48</v>
      </c>
    </row>
    <row r="39" spans="1:69" ht="33" customHeight="1" outlineLevel="1" x14ac:dyDescent="0.25">
      <c r="A39" s="88" t="s">
        <v>18</v>
      </c>
      <c r="B39" s="9" t="s">
        <v>131</v>
      </c>
      <c r="C39" s="9" t="s">
        <v>89</v>
      </c>
      <c r="D39" s="310" t="s">
        <v>81</v>
      </c>
      <c r="E39" s="311"/>
      <c r="F39" s="9" t="s">
        <v>70</v>
      </c>
      <c r="G39" s="9" t="s">
        <v>68</v>
      </c>
      <c r="H39" s="211">
        <v>32613</v>
      </c>
      <c r="I39" s="211">
        <v>1036</v>
      </c>
      <c r="J39" s="211">
        <v>2021</v>
      </c>
      <c r="K39" s="211">
        <v>28696</v>
      </c>
      <c r="L39" s="9"/>
      <c r="M39" s="194">
        <v>50000</v>
      </c>
      <c r="N39" s="195">
        <v>0</v>
      </c>
      <c r="O39" s="196">
        <v>0</v>
      </c>
      <c r="P39" s="195">
        <f>10000+2000</f>
        <v>12000</v>
      </c>
      <c r="Q39" s="196"/>
      <c r="R39" s="46">
        <v>50000</v>
      </c>
      <c r="S39" s="49">
        <v>0</v>
      </c>
      <c r="T39" s="47">
        <v>0</v>
      </c>
      <c r="U39" s="225">
        <v>12000</v>
      </c>
      <c r="V39" s="47"/>
      <c r="W39" s="57"/>
      <c r="X39" s="57"/>
      <c r="Y39" s="57"/>
      <c r="Z39" s="57"/>
      <c r="AA39" s="57"/>
      <c r="AB39" s="57"/>
      <c r="AC39" s="81" t="s">
        <v>18</v>
      </c>
      <c r="AD39" s="163">
        <v>4803.3508548351228</v>
      </c>
      <c r="AE39" s="164">
        <v>0</v>
      </c>
      <c r="AF39" s="164">
        <v>0</v>
      </c>
      <c r="AG39" s="164">
        <f>1700+766</f>
        <v>2466</v>
      </c>
      <c r="AH39" s="165" t="s">
        <v>103</v>
      </c>
      <c r="AI39" s="163">
        <v>7761.8252486135189</v>
      </c>
      <c r="AJ39" s="164">
        <v>680</v>
      </c>
      <c r="AK39" s="164">
        <v>128</v>
      </c>
      <c r="AL39" s="164">
        <f>2466+70</f>
        <v>2536</v>
      </c>
      <c r="AM39" s="165" t="s">
        <v>103</v>
      </c>
      <c r="AN39" s="163">
        <v>14328.681721743489</v>
      </c>
      <c r="AO39" s="164">
        <v>90</v>
      </c>
      <c r="AP39" s="164">
        <v>16</v>
      </c>
      <c r="AQ39" s="164">
        <f>1929+98</f>
        <v>2027</v>
      </c>
      <c r="AR39" s="165" t="s">
        <v>103</v>
      </c>
      <c r="AS39" s="163">
        <v>1691.1367559686662</v>
      </c>
      <c r="AT39" s="164">
        <v>617.4</v>
      </c>
      <c r="AU39" s="164">
        <v>120</v>
      </c>
      <c r="AV39" s="164">
        <f>88+41</f>
        <v>129</v>
      </c>
      <c r="AW39" s="165" t="s">
        <v>103</v>
      </c>
      <c r="AX39" s="163">
        <v>10363.221085109313</v>
      </c>
      <c r="AY39" s="164">
        <v>456.05</v>
      </c>
      <c r="AZ39" s="164">
        <v>88</v>
      </c>
      <c r="BA39" s="164">
        <f>945+240</f>
        <v>1185</v>
      </c>
      <c r="BB39" s="165" t="s">
        <v>103</v>
      </c>
      <c r="BC39" s="163">
        <v>5621.6485273819062</v>
      </c>
      <c r="BD39" s="164">
        <v>267.05</v>
      </c>
      <c r="BE39" s="164">
        <v>48.053993250843646</v>
      </c>
      <c r="BF39" s="164">
        <f>1283+693</f>
        <v>1976</v>
      </c>
      <c r="BG39" s="165" t="s">
        <v>103</v>
      </c>
      <c r="BH39" s="163">
        <v>3405.5727554179566</v>
      </c>
      <c r="BI39" s="164">
        <v>2037.7</v>
      </c>
      <c r="BJ39" s="164">
        <v>391.99100112485939</v>
      </c>
      <c r="BK39" s="164">
        <f>1035+22</f>
        <v>1057</v>
      </c>
      <c r="BL39" s="165" t="s">
        <v>103</v>
      </c>
      <c r="BM39" s="163">
        <v>2024.5630509300283</v>
      </c>
      <c r="BN39" s="164">
        <v>51.8</v>
      </c>
      <c r="BO39" s="164">
        <v>8</v>
      </c>
      <c r="BP39" s="164">
        <f>554+71</f>
        <v>625</v>
      </c>
      <c r="BQ39" s="165" t="s">
        <v>103</v>
      </c>
    </row>
    <row r="40" spans="1:69" ht="33" customHeight="1" outlineLevel="1" x14ac:dyDescent="0.25">
      <c r="A40" s="88" t="s">
        <v>19</v>
      </c>
      <c r="B40" s="88" t="s">
        <v>88</v>
      </c>
      <c r="C40" s="88" t="s">
        <v>90</v>
      </c>
      <c r="D40" s="343" t="s">
        <v>81</v>
      </c>
      <c r="E40" s="344"/>
      <c r="F40" s="88" t="s">
        <v>70</v>
      </c>
      <c r="G40" s="88" t="s">
        <v>82</v>
      </c>
      <c r="H40" s="88">
        <v>0</v>
      </c>
      <c r="I40" s="88">
        <v>0</v>
      </c>
      <c r="J40" s="88">
        <v>0</v>
      </c>
      <c r="K40" s="88">
        <v>0</v>
      </c>
      <c r="L40" s="88"/>
      <c r="M40" s="43">
        <v>15000</v>
      </c>
      <c r="N40" s="44"/>
      <c r="O40" s="43"/>
      <c r="P40" s="44"/>
      <c r="Q40" s="43"/>
      <c r="R40" s="46">
        <v>15000</v>
      </c>
      <c r="S40" s="50"/>
      <c r="T40" s="46"/>
      <c r="U40" s="50"/>
      <c r="V40" s="46"/>
      <c r="W40" s="57"/>
      <c r="X40" s="57"/>
      <c r="Y40" s="57"/>
      <c r="Z40" s="57"/>
      <c r="AA40" s="57"/>
      <c r="AB40" s="57"/>
      <c r="AC40" s="81" t="s">
        <v>19</v>
      </c>
      <c r="AD40" s="163" t="s">
        <v>103</v>
      </c>
      <c r="AE40" s="164" t="s">
        <v>103</v>
      </c>
      <c r="AF40" s="164" t="s">
        <v>103</v>
      </c>
      <c r="AG40" s="164" t="s">
        <v>103</v>
      </c>
      <c r="AH40" s="165" t="s">
        <v>103</v>
      </c>
      <c r="AI40" s="163" t="s">
        <v>103</v>
      </c>
      <c r="AJ40" s="164" t="s">
        <v>103</v>
      </c>
      <c r="AK40" s="164" t="s">
        <v>103</v>
      </c>
      <c r="AL40" s="164" t="s">
        <v>103</v>
      </c>
      <c r="AM40" s="165" t="s">
        <v>103</v>
      </c>
      <c r="AN40" s="163" t="s">
        <v>103</v>
      </c>
      <c r="AO40" s="164" t="s">
        <v>103</v>
      </c>
      <c r="AP40" s="164" t="s">
        <v>103</v>
      </c>
      <c r="AQ40" s="164" t="s">
        <v>103</v>
      </c>
      <c r="AR40" s="165" t="s">
        <v>103</v>
      </c>
      <c r="AS40" s="163" t="s">
        <v>103</v>
      </c>
      <c r="AT40" s="164" t="s">
        <v>103</v>
      </c>
      <c r="AU40" s="164" t="s">
        <v>103</v>
      </c>
      <c r="AV40" s="164" t="s">
        <v>103</v>
      </c>
      <c r="AW40" s="165" t="s">
        <v>103</v>
      </c>
      <c r="AX40" s="163" t="s">
        <v>103</v>
      </c>
      <c r="AY40" s="164" t="s">
        <v>103</v>
      </c>
      <c r="AZ40" s="164" t="s">
        <v>103</v>
      </c>
      <c r="BA40" s="164" t="s">
        <v>103</v>
      </c>
      <c r="BB40" s="165" t="s">
        <v>103</v>
      </c>
      <c r="BC40" s="163" t="s">
        <v>103</v>
      </c>
      <c r="BD40" s="164" t="s">
        <v>103</v>
      </c>
      <c r="BE40" s="164" t="s">
        <v>103</v>
      </c>
      <c r="BF40" s="164" t="s">
        <v>103</v>
      </c>
      <c r="BG40" s="165" t="s">
        <v>103</v>
      </c>
      <c r="BH40" s="163" t="s">
        <v>103</v>
      </c>
      <c r="BI40" s="164" t="s">
        <v>103</v>
      </c>
      <c r="BJ40" s="164" t="s">
        <v>103</v>
      </c>
      <c r="BK40" s="164" t="s">
        <v>103</v>
      </c>
      <c r="BL40" s="165" t="s">
        <v>103</v>
      </c>
      <c r="BM40" s="163" t="s">
        <v>103</v>
      </c>
      <c r="BN40" s="164" t="s">
        <v>103</v>
      </c>
      <c r="BO40" s="164" t="s">
        <v>103</v>
      </c>
      <c r="BP40" s="164" t="s">
        <v>103</v>
      </c>
      <c r="BQ40" s="165" t="s">
        <v>103</v>
      </c>
    </row>
    <row r="41" spans="1:69" ht="31.5" customHeight="1" outlineLevel="1" x14ac:dyDescent="0.35">
      <c r="A41" s="5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57"/>
      <c r="M41" s="57"/>
      <c r="N41" s="57"/>
      <c r="O41" s="57"/>
      <c r="P41" s="57"/>
      <c r="Q41" s="57"/>
      <c r="R41" s="7"/>
      <c r="S41" s="7"/>
      <c r="T41" s="57"/>
      <c r="U41" s="57"/>
      <c r="V41" s="57"/>
      <c r="W41" s="57"/>
      <c r="X41" s="116"/>
      <c r="Y41" s="117"/>
      <c r="Z41" s="117"/>
      <c r="AA41" s="117"/>
      <c r="AB41" s="117"/>
      <c r="AC41" s="117"/>
      <c r="AD41" s="117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4"/>
      <c r="BL41" s="84"/>
      <c r="BM41" s="84"/>
    </row>
    <row r="42" spans="1:69" ht="21" outlineLevel="1" x14ac:dyDescent="0.35">
      <c r="A42" s="126" t="s">
        <v>87</v>
      </c>
      <c r="B42" s="126"/>
      <c r="C42" s="126"/>
      <c r="D42" s="126"/>
      <c r="E42" s="126"/>
      <c r="F42" s="126"/>
      <c r="G42" s="126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57"/>
      <c r="S42" s="57"/>
      <c r="T42" s="57"/>
      <c r="U42" s="57"/>
      <c r="V42" s="57"/>
      <c r="W42" s="57"/>
      <c r="X42" s="8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84"/>
    </row>
    <row r="43" spans="1:69" x14ac:dyDescent="0.25">
      <c r="A43" s="302" t="s">
        <v>128</v>
      </c>
      <c r="B43" s="303"/>
      <c r="C43" s="303"/>
      <c r="D43" s="303"/>
      <c r="E43" s="303"/>
      <c r="F43" s="303"/>
      <c r="G43" s="303"/>
      <c r="AT43" s="57"/>
      <c r="AU43" s="57"/>
      <c r="AV43" s="57"/>
    </row>
    <row r="44" spans="1:69" x14ac:dyDescent="0.25">
      <c r="A44" s="300" t="s">
        <v>132</v>
      </c>
      <c r="B44" s="301"/>
      <c r="C44" s="301"/>
      <c r="D44" s="301"/>
      <c r="E44" s="301"/>
      <c r="F44" s="301"/>
      <c r="G44" s="301"/>
      <c r="AS44" s="270"/>
      <c r="AT44" s="84"/>
      <c r="AU44" s="84"/>
      <c r="AV44" s="84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</row>
    <row r="45" spans="1:69" x14ac:dyDescent="0.25">
      <c r="A45" s="302" t="s">
        <v>135</v>
      </c>
      <c r="B45" s="303"/>
      <c r="C45" s="303"/>
      <c r="D45" s="303"/>
      <c r="E45" s="303"/>
      <c r="F45" s="303"/>
      <c r="G45" s="303"/>
      <c r="AS45" s="270"/>
      <c r="AT45" s="84"/>
      <c r="AU45" s="271"/>
      <c r="AV45" s="84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</row>
    <row r="46" spans="1:69" outlineLevel="1" x14ac:dyDescent="0.25">
      <c r="A46" s="300" t="s">
        <v>133</v>
      </c>
      <c r="B46" s="301"/>
      <c r="C46" s="301"/>
      <c r="D46" s="301"/>
      <c r="E46" s="301"/>
      <c r="F46" s="301"/>
      <c r="G46" s="301"/>
      <c r="H46" s="123"/>
      <c r="I46" s="123"/>
      <c r="J46" s="123"/>
      <c r="K46" s="57"/>
      <c r="L46" s="57"/>
      <c r="M46" s="57"/>
      <c r="N46" s="57"/>
      <c r="O46" s="57"/>
      <c r="P46" s="57"/>
      <c r="Q46" s="118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271"/>
      <c r="AV46" s="84"/>
      <c r="AW46" s="119"/>
      <c r="AX46" s="119"/>
      <c r="AY46" s="119"/>
      <c r="AZ46" s="119"/>
      <c r="BA46" s="119"/>
      <c r="BB46" s="119"/>
      <c r="BC46" s="119"/>
      <c r="BD46" s="119"/>
      <c r="BE46" s="119"/>
      <c r="BF46" s="84"/>
      <c r="BG46" s="270"/>
    </row>
    <row r="47" spans="1:69" outlineLevel="1" x14ac:dyDescent="0.25">
      <c r="A47" s="302" t="s">
        <v>134</v>
      </c>
      <c r="B47" s="303"/>
      <c r="C47" s="303"/>
      <c r="D47" s="303"/>
      <c r="E47" s="303"/>
      <c r="F47" s="303"/>
      <c r="G47" s="303"/>
      <c r="H47" s="122"/>
      <c r="I47" s="122"/>
      <c r="J47" s="122"/>
      <c r="K47" s="57"/>
      <c r="L47" s="57"/>
      <c r="M47" s="57"/>
      <c r="N47" s="57"/>
      <c r="O47" s="57"/>
      <c r="P47" s="57"/>
      <c r="Q47" s="118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271"/>
      <c r="AV47" s="84"/>
      <c r="AW47" s="120"/>
      <c r="AX47" s="120"/>
      <c r="AY47" s="120"/>
      <c r="AZ47" s="120"/>
      <c r="BA47" s="120"/>
      <c r="BB47" s="120"/>
      <c r="BC47" s="120"/>
      <c r="BD47" s="120"/>
      <c r="BE47" s="120"/>
      <c r="BF47" s="84"/>
      <c r="BG47" s="270"/>
    </row>
    <row r="48" spans="1:69" x14ac:dyDescent="0.25">
      <c r="A48" s="300" t="s">
        <v>141</v>
      </c>
      <c r="B48" s="301"/>
      <c r="C48" s="301"/>
      <c r="D48" s="301"/>
      <c r="E48" s="301"/>
      <c r="F48" s="301"/>
      <c r="G48" s="301"/>
      <c r="AS48" s="270"/>
      <c r="AT48" s="84"/>
      <c r="AU48" s="271"/>
      <c r="AV48" s="84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</row>
    <row r="49" spans="1:59" x14ac:dyDescent="0.25">
      <c r="A49" t="s">
        <v>152</v>
      </c>
      <c r="AS49" s="270"/>
      <c r="AT49" s="84"/>
      <c r="AU49" s="271"/>
      <c r="AV49" s="84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</row>
    <row r="50" spans="1:59" x14ac:dyDescent="0.25">
      <c r="AS50" s="270"/>
      <c r="AT50" s="84"/>
      <c r="AU50" s="271"/>
      <c r="AV50" s="84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</row>
    <row r="51" spans="1:59" x14ac:dyDescent="0.25">
      <c r="AS51" s="270"/>
      <c r="AT51" s="84"/>
      <c r="AU51" s="271"/>
      <c r="AV51" s="84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</row>
    <row r="52" spans="1:59" x14ac:dyDescent="0.25">
      <c r="AS52" s="270"/>
      <c r="AT52" s="84"/>
      <c r="AU52" s="271"/>
      <c r="AV52" s="84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</row>
    <row r="53" spans="1:59" x14ac:dyDescent="0.25">
      <c r="AS53" s="270"/>
      <c r="AT53" s="84"/>
      <c r="AU53" s="84"/>
      <c r="AV53" s="84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</row>
  </sheetData>
  <mergeCells count="81">
    <mergeCell ref="F11:G11"/>
    <mergeCell ref="A48:G48"/>
    <mergeCell ref="D4:E4"/>
    <mergeCell ref="D5:E5"/>
    <mergeCell ref="F10:G10"/>
    <mergeCell ref="D6:E6"/>
    <mergeCell ref="A8:Q8"/>
    <mergeCell ref="Q10:V10"/>
    <mergeCell ref="F12:G12"/>
    <mergeCell ref="F13:G13"/>
    <mergeCell ref="A15:G15"/>
    <mergeCell ref="M15:Q15"/>
    <mergeCell ref="D20:E20"/>
    <mergeCell ref="D18:E18"/>
    <mergeCell ref="A30:Q30"/>
    <mergeCell ref="D38:E38"/>
    <mergeCell ref="A1:W1"/>
    <mergeCell ref="A3:G3"/>
    <mergeCell ref="H3:K3"/>
    <mergeCell ref="L3:O3"/>
    <mergeCell ref="P3:S3"/>
    <mergeCell ref="T3:W3"/>
    <mergeCell ref="BH15:BL15"/>
    <mergeCell ref="BM15:BQ15"/>
    <mergeCell ref="D16:E16"/>
    <mergeCell ref="D17:E17"/>
    <mergeCell ref="AX15:BB15"/>
    <mergeCell ref="BC15:BG15"/>
    <mergeCell ref="AD15:AH15"/>
    <mergeCell ref="AI15:AM15"/>
    <mergeCell ref="AN15:AR15"/>
    <mergeCell ref="AS15:AW15"/>
    <mergeCell ref="R15:V15"/>
    <mergeCell ref="H15:L15"/>
    <mergeCell ref="BC22:BG22"/>
    <mergeCell ref="BH22:BL22"/>
    <mergeCell ref="A24:G24"/>
    <mergeCell ref="A26:G26"/>
    <mergeCell ref="Y22:AC22"/>
    <mergeCell ref="AD22:AH22"/>
    <mergeCell ref="AI22:AM22"/>
    <mergeCell ref="AN22:AR22"/>
    <mergeCell ref="AS22:AW22"/>
    <mergeCell ref="AX22:BB22"/>
    <mergeCell ref="A23:G23"/>
    <mergeCell ref="A25:G25"/>
    <mergeCell ref="BH37:BL37"/>
    <mergeCell ref="BM37:BQ37"/>
    <mergeCell ref="AS37:AW37"/>
    <mergeCell ref="AX37:BB37"/>
    <mergeCell ref="BC37:BG37"/>
    <mergeCell ref="AN37:AR37"/>
    <mergeCell ref="A37:G37"/>
    <mergeCell ref="M37:Q37"/>
    <mergeCell ref="R37:V37"/>
    <mergeCell ref="A27:G27"/>
    <mergeCell ref="H37:L37"/>
    <mergeCell ref="AD37:AH37"/>
    <mergeCell ref="AI37:AM37"/>
    <mergeCell ref="F32:G32"/>
    <mergeCell ref="Q32:V32"/>
    <mergeCell ref="F33:G33"/>
    <mergeCell ref="F34:G34"/>
    <mergeCell ref="F35:G35"/>
    <mergeCell ref="A28:G28"/>
    <mergeCell ref="D19:E19"/>
    <mergeCell ref="D40:E40"/>
    <mergeCell ref="BC42:BG42"/>
    <mergeCell ref="BH42:BL42"/>
    <mergeCell ref="A47:G47"/>
    <mergeCell ref="AS42:AW42"/>
    <mergeCell ref="AX42:BB42"/>
    <mergeCell ref="A46:G46"/>
    <mergeCell ref="Y42:AC42"/>
    <mergeCell ref="AD42:AH42"/>
    <mergeCell ref="AI42:AM42"/>
    <mergeCell ref="AN42:AR42"/>
    <mergeCell ref="A43:G43"/>
    <mergeCell ref="A44:G44"/>
    <mergeCell ref="A45:G45"/>
    <mergeCell ref="D39:E39"/>
  </mergeCells>
  <pageMargins left="0.7" right="0.7" top="0.75" bottom="0.75" header="0.3" footer="0.3"/>
  <pageSetup paperSize="8" scale="59" fitToWidth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5"/>
  <sheetViews>
    <sheetView showGridLines="0" topLeftCell="A4" zoomScale="90" zoomScaleNormal="90" workbookViewId="0">
      <selection sqref="A1:W1"/>
    </sheetView>
  </sheetViews>
  <sheetFormatPr defaultColWidth="9.140625" defaultRowHeight="15" outlineLevelRow="1" x14ac:dyDescent="0.25"/>
  <cols>
    <col min="1" max="1" width="14.5703125" bestFit="1" customWidth="1"/>
    <col min="2" max="2" width="23.5703125" customWidth="1"/>
    <col min="3" max="3" width="29.42578125" customWidth="1"/>
    <col min="4" max="4" width="24.140625" customWidth="1"/>
    <col min="5" max="5" width="12" bestFit="1" customWidth="1"/>
    <col min="6" max="6" width="7.7109375" bestFit="1" customWidth="1"/>
    <col min="7" max="7" width="13.85546875" bestFit="1" customWidth="1"/>
    <col min="8" max="8" width="11.5703125" bestFit="1" customWidth="1"/>
    <col min="9" max="11" width="9.140625" bestFit="1" customWidth="1"/>
    <col min="12" max="12" width="11.5703125" bestFit="1" customWidth="1"/>
    <col min="13" max="13" width="13.42578125" customWidth="1"/>
    <col min="14" max="14" width="13" customWidth="1"/>
    <col min="15" max="15" width="12.42578125" customWidth="1"/>
    <col min="16" max="19" width="9.42578125" customWidth="1"/>
    <col min="20" max="20" width="11.5703125" bestFit="1" customWidth="1"/>
    <col min="21" max="23" width="9.140625" bestFit="1" customWidth="1"/>
    <col min="24" max="45" width="8" customWidth="1"/>
  </cols>
  <sheetData>
    <row r="1" spans="1:69" ht="60" customHeight="1" x14ac:dyDescent="0.25">
      <c r="A1" s="348" t="s">
        <v>206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57"/>
      <c r="BJ1" s="57"/>
      <c r="BK1" s="57"/>
      <c r="BL1" s="57"/>
    </row>
    <row r="2" spans="1:69" ht="18.75" customHeight="1" x14ac:dyDescent="0.35">
      <c r="A2" s="214" t="s">
        <v>155</v>
      </c>
      <c r="B2" s="21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7"/>
      <c r="Q2" s="7"/>
      <c r="R2" s="7"/>
      <c r="S2" s="7"/>
      <c r="T2" s="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9" ht="25.15" customHeight="1" x14ac:dyDescent="0.25">
      <c r="A3" s="332" t="s">
        <v>93</v>
      </c>
      <c r="B3" s="332"/>
      <c r="C3" s="332"/>
      <c r="D3" s="332"/>
      <c r="E3" s="332"/>
      <c r="F3" s="332"/>
      <c r="G3" s="332"/>
      <c r="H3" s="333" t="s">
        <v>4</v>
      </c>
      <c r="I3" s="334"/>
      <c r="J3" s="334"/>
      <c r="K3" s="335"/>
      <c r="L3" s="336" t="s">
        <v>29</v>
      </c>
      <c r="M3" s="337"/>
      <c r="N3" s="337"/>
      <c r="O3" s="338"/>
      <c r="P3" s="333" t="s">
        <v>28</v>
      </c>
      <c r="Q3" s="334"/>
      <c r="R3" s="334"/>
      <c r="S3" s="335"/>
      <c r="T3" s="339" t="s">
        <v>22</v>
      </c>
      <c r="U3" s="337"/>
      <c r="V3" s="337"/>
      <c r="W3" s="340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9" ht="72" customHeight="1" thickBot="1" x14ac:dyDescent="0.3">
      <c r="A4" s="87" t="s">
        <v>6</v>
      </c>
      <c r="B4" s="41" t="s">
        <v>7</v>
      </c>
      <c r="C4" s="41" t="s">
        <v>3</v>
      </c>
      <c r="D4" s="308" t="s">
        <v>33</v>
      </c>
      <c r="E4" s="309"/>
      <c r="F4" s="42" t="s">
        <v>10</v>
      </c>
      <c r="G4" s="124" t="s">
        <v>0</v>
      </c>
      <c r="H4" s="100" t="s">
        <v>1</v>
      </c>
      <c r="I4" s="38" t="s">
        <v>43</v>
      </c>
      <c r="J4" s="51" t="s">
        <v>44</v>
      </c>
      <c r="K4" s="101" t="s">
        <v>63</v>
      </c>
      <c r="L4" s="99" t="s">
        <v>1</v>
      </c>
      <c r="M4" s="38" t="s">
        <v>43</v>
      </c>
      <c r="N4" s="51" t="s">
        <v>44</v>
      </c>
      <c r="O4" s="102" t="s">
        <v>63</v>
      </c>
      <c r="P4" s="100" t="s">
        <v>1</v>
      </c>
      <c r="Q4" s="38" t="s">
        <v>43</v>
      </c>
      <c r="R4" s="51" t="s">
        <v>44</v>
      </c>
      <c r="S4" s="101" t="s">
        <v>63</v>
      </c>
      <c r="T4" s="103" t="s">
        <v>1</v>
      </c>
      <c r="U4" s="38" t="s">
        <v>43</v>
      </c>
      <c r="V4" s="51" t="s">
        <v>44</v>
      </c>
      <c r="W4" s="101" t="s">
        <v>63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9" s="1" customFormat="1" ht="82.5" customHeight="1" x14ac:dyDescent="0.25">
      <c r="A5" s="88" t="s">
        <v>18</v>
      </c>
      <c r="B5" s="9" t="s">
        <v>107</v>
      </c>
      <c r="C5" s="9" t="s">
        <v>108</v>
      </c>
      <c r="D5" s="310" t="s">
        <v>153</v>
      </c>
      <c r="E5" s="311"/>
      <c r="F5" s="9" t="s">
        <v>20</v>
      </c>
      <c r="G5" s="97" t="s">
        <v>68</v>
      </c>
      <c r="H5" s="171" t="s">
        <v>103</v>
      </c>
      <c r="I5" s="185" t="s">
        <v>103</v>
      </c>
      <c r="J5" s="186" t="s">
        <v>103</v>
      </c>
      <c r="K5" s="187" t="s">
        <v>103</v>
      </c>
      <c r="L5" s="182" t="s">
        <v>103</v>
      </c>
      <c r="M5" s="180" t="s">
        <v>103</v>
      </c>
      <c r="N5" s="159" t="s">
        <v>103</v>
      </c>
      <c r="O5" s="183" t="s">
        <v>103</v>
      </c>
      <c r="P5" s="171" t="s">
        <v>103</v>
      </c>
      <c r="Q5" s="180" t="s">
        <v>103</v>
      </c>
      <c r="R5" s="159" t="s">
        <v>103</v>
      </c>
      <c r="S5" s="181" t="s">
        <v>103</v>
      </c>
      <c r="T5" s="184" t="s">
        <v>103</v>
      </c>
      <c r="U5" s="188">
        <v>1</v>
      </c>
      <c r="V5" s="189">
        <v>1</v>
      </c>
      <c r="W5" s="190">
        <v>1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9" s="1" customFormat="1" ht="82.5" customHeight="1" x14ac:dyDescent="0.25">
      <c r="A6" s="89" t="s">
        <v>19</v>
      </c>
      <c r="B6" s="89" t="s">
        <v>121</v>
      </c>
      <c r="C6" s="10" t="s">
        <v>122</v>
      </c>
      <c r="D6" s="298" t="s">
        <v>94</v>
      </c>
      <c r="E6" s="299"/>
      <c r="F6" s="11" t="s">
        <v>123</v>
      </c>
      <c r="G6" s="98" t="s">
        <v>95</v>
      </c>
      <c r="H6" s="191" t="s">
        <v>103</v>
      </c>
      <c r="I6" s="177" t="s">
        <v>103</v>
      </c>
      <c r="J6" s="178" t="s">
        <v>103</v>
      </c>
      <c r="K6" s="179" t="s">
        <v>103</v>
      </c>
      <c r="L6" s="192" t="s">
        <v>103</v>
      </c>
      <c r="M6" s="177" t="s">
        <v>103</v>
      </c>
      <c r="N6" s="178" t="s">
        <v>103</v>
      </c>
      <c r="O6" s="193" t="s">
        <v>103</v>
      </c>
      <c r="P6" s="191" t="s">
        <v>103</v>
      </c>
      <c r="Q6" s="177" t="s">
        <v>103</v>
      </c>
      <c r="R6" s="178" t="s">
        <v>103</v>
      </c>
      <c r="S6" s="179" t="s">
        <v>103</v>
      </c>
      <c r="T6" s="236" t="s">
        <v>110</v>
      </c>
      <c r="U6" s="237" t="s">
        <v>111</v>
      </c>
      <c r="V6" s="238" t="s">
        <v>111</v>
      </c>
      <c r="W6" s="239" t="s">
        <v>111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9" s="1" customFormat="1" ht="27" customHeight="1" x14ac:dyDescent="0.25">
      <c r="A7" s="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9" s="1" customFormat="1" ht="47.25" customHeight="1" x14ac:dyDescent="0.25">
      <c r="A8" s="327" t="s">
        <v>120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7"/>
      <c r="BJ8" s="7"/>
      <c r="BK8" s="7"/>
      <c r="BL8" s="7"/>
    </row>
    <row r="9" spans="1:69" s="12" customFormat="1" ht="27.75" customHeight="1" x14ac:dyDescent="0.35">
      <c r="A9" s="93"/>
      <c r="B9" s="93"/>
      <c r="C9" s="93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9" s="1" customFormat="1" ht="29.25" customHeight="1" outlineLevel="1" thickBot="1" x14ac:dyDescent="0.4">
      <c r="A10" s="57"/>
      <c r="B10" s="104" t="s">
        <v>9</v>
      </c>
      <c r="C10" s="105" t="s">
        <v>50</v>
      </c>
      <c r="D10" s="106">
        <v>2018</v>
      </c>
      <c r="E10" s="107">
        <v>2019</v>
      </c>
      <c r="F10" s="329">
        <v>2020</v>
      </c>
      <c r="G10" s="330"/>
      <c r="H10" s="85"/>
      <c r="I10" s="85"/>
      <c r="J10" s="85"/>
      <c r="K10" s="85"/>
      <c r="L10" s="85"/>
      <c r="M10" s="85"/>
      <c r="N10" s="7"/>
      <c r="O10" s="7"/>
      <c r="P10" s="7"/>
      <c r="Q10" s="328"/>
      <c r="R10" s="328"/>
      <c r="S10" s="328"/>
      <c r="T10" s="328"/>
      <c r="U10" s="328"/>
      <c r="V10" s="32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9" s="1" customFormat="1" ht="23.45" customHeight="1" outlineLevel="1" x14ac:dyDescent="0.35">
      <c r="A11" s="7"/>
      <c r="B11" s="108" t="s">
        <v>26</v>
      </c>
      <c r="C11" s="109">
        <f>ROUND(4*5000 + 75000+10000+100000,-5)</f>
        <v>200000</v>
      </c>
      <c r="D11" s="110">
        <f>C11</f>
        <v>200000</v>
      </c>
      <c r="E11" s="111" t="s">
        <v>45</v>
      </c>
      <c r="F11" s="318" t="s">
        <v>46</v>
      </c>
      <c r="G11" s="319"/>
      <c r="H11" s="85"/>
      <c r="I11" s="85"/>
      <c r="J11" s="85"/>
      <c r="K11" s="85"/>
      <c r="L11" s="85"/>
      <c r="M11" s="85"/>
      <c r="N11" s="7"/>
      <c r="O11" s="7"/>
      <c r="P11" s="125"/>
      <c r="Q11" s="125"/>
      <c r="R11" s="125"/>
      <c r="S11" s="125"/>
      <c r="T11" s="12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9" s="1" customFormat="1" ht="23.45" customHeight="1" outlineLevel="1" x14ac:dyDescent="0.35">
      <c r="A12" s="57"/>
      <c r="B12" s="112" t="s">
        <v>24</v>
      </c>
      <c r="C12" s="113">
        <v>0</v>
      </c>
      <c r="D12" s="114">
        <v>0</v>
      </c>
      <c r="E12" s="115" t="s">
        <v>45</v>
      </c>
      <c r="F12" s="320" t="s">
        <v>46</v>
      </c>
      <c r="G12" s="321"/>
      <c r="H12" s="85"/>
      <c r="I12" s="85"/>
      <c r="J12" s="85"/>
      <c r="K12" s="85"/>
      <c r="L12" s="85"/>
      <c r="M12" s="85"/>
      <c r="N12" s="85"/>
      <c r="O12" s="85"/>
      <c r="P12" s="85"/>
      <c r="Q12" s="7"/>
      <c r="R12" s="7"/>
      <c r="S12" s="7"/>
      <c r="T12" s="125"/>
      <c r="U12" s="125"/>
      <c r="V12" s="125"/>
      <c r="W12" s="125"/>
      <c r="X12" s="125"/>
      <c r="Y12" s="125"/>
      <c r="Z12" s="12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9" s="1" customFormat="1" ht="23.45" customHeight="1" outlineLevel="1" x14ac:dyDescent="0.35">
      <c r="A13" s="57"/>
      <c r="B13" s="112" t="s">
        <v>25</v>
      </c>
      <c r="C13" s="113">
        <v>1</v>
      </c>
      <c r="D13" s="114">
        <v>1</v>
      </c>
      <c r="E13" s="115" t="s">
        <v>45</v>
      </c>
      <c r="F13" s="320" t="s">
        <v>46</v>
      </c>
      <c r="G13" s="321"/>
      <c r="H13" s="85"/>
      <c r="I13" s="85"/>
      <c r="J13" s="85"/>
      <c r="K13" s="85"/>
      <c r="L13" s="85"/>
      <c r="M13" s="85"/>
      <c r="N13" s="85"/>
      <c r="O13" s="85"/>
      <c r="P13" s="85"/>
      <c r="Q13" s="7"/>
      <c r="R13" s="7"/>
      <c r="S13" s="7"/>
      <c r="T13" s="125"/>
      <c r="U13" s="125"/>
      <c r="V13" s="125"/>
      <c r="W13" s="125"/>
      <c r="X13" s="125"/>
      <c r="Y13" s="125"/>
      <c r="Z13" s="12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9" s="1" customFormat="1" ht="19.5" customHeight="1" outlineLevel="1" x14ac:dyDescent="0.35">
      <c r="A14" s="57"/>
      <c r="B14" s="3"/>
      <c r="C14" s="3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7"/>
      <c r="W14" s="7"/>
      <c r="X14" s="7"/>
      <c r="Y14" s="7"/>
      <c r="Z14" s="7"/>
      <c r="AA14" s="7"/>
      <c r="AB14" s="7"/>
      <c r="AC14" s="95" t="s">
        <v>47</v>
      </c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21" outlineLevel="1" x14ac:dyDescent="0.35">
      <c r="A15" s="322" t="s">
        <v>92</v>
      </c>
      <c r="B15" s="322"/>
      <c r="C15" s="322"/>
      <c r="D15" s="322"/>
      <c r="E15" s="322"/>
      <c r="F15" s="322"/>
      <c r="G15" s="323"/>
      <c r="H15" s="315" t="s">
        <v>1</v>
      </c>
      <c r="I15" s="316"/>
      <c r="J15" s="316"/>
      <c r="K15" s="316"/>
      <c r="L15" s="317"/>
      <c r="M15" s="324" t="s">
        <v>42</v>
      </c>
      <c r="N15" s="325"/>
      <c r="O15" s="325"/>
      <c r="P15" s="325"/>
      <c r="Q15" s="326"/>
      <c r="R15" s="312" t="s">
        <v>49</v>
      </c>
      <c r="S15" s="313"/>
      <c r="T15" s="313"/>
      <c r="U15" s="313"/>
      <c r="V15" s="314"/>
      <c r="W15" s="57"/>
      <c r="X15" s="57"/>
      <c r="Y15" s="57"/>
      <c r="Z15" s="57"/>
      <c r="AA15" s="57"/>
      <c r="AB15" s="57"/>
      <c r="AC15" s="57"/>
      <c r="AD15" s="305" t="s">
        <v>11</v>
      </c>
      <c r="AE15" s="306"/>
      <c r="AF15" s="306"/>
      <c r="AG15" s="306"/>
      <c r="AH15" s="307"/>
      <c r="AI15" s="305" t="s">
        <v>16</v>
      </c>
      <c r="AJ15" s="306"/>
      <c r="AK15" s="306"/>
      <c r="AL15" s="306"/>
      <c r="AM15" s="307"/>
      <c r="AN15" s="305" t="s">
        <v>23</v>
      </c>
      <c r="AO15" s="306"/>
      <c r="AP15" s="306"/>
      <c r="AQ15" s="306"/>
      <c r="AR15" s="307"/>
      <c r="AS15" s="305" t="s">
        <v>13</v>
      </c>
      <c r="AT15" s="306"/>
      <c r="AU15" s="306"/>
      <c r="AV15" s="306"/>
      <c r="AW15" s="307"/>
      <c r="AX15" s="305" t="s">
        <v>14</v>
      </c>
      <c r="AY15" s="306"/>
      <c r="AZ15" s="306"/>
      <c r="BA15" s="306"/>
      <c r="BB15" s="307"/>
      <c r="BC15" s="305" t="s">
        <v>12</v>
      </c>
      <c r="BD15" s="306"/>
      <c r="BE15" s="306"/>
      <c r="BF15" s="306"/>
      <c r="BG15" s="307"/>
      <c r="BH15" s="305" t="s">
        <v>17</v>
      </c>
      <c r="BI15" s="306"/>
      <c r="BJ15" s="306"/>
      <c r="BK15" s="306"/>
      <c r="BL15" s="307"/>
      <c r="BM15" s="305" t="s">
        <v>15</v>
      </c>
      <c r="BN15" s="306"/>
      <c r="BO15" s="306"/>
      <c r="BP15" s="306"/>
      <c r="BQ15" s="307"/>
    </row>
    <row r="16" spans="1:69" ht="29.45" customHeight="1" outlineLevel="1" thickBot="1" x14ac:dyDescent="0.3">
      <c r="A16" s="87" t="s">
        <v>6</v>
      </c>
      <c r="B16" s="41" t="s">
        <v>8</v>
      </c>
      <c r="C16" s="41" t="s">
        <v>3</v>
      </c>
      <c r="D16" s="308" t="s">
        <v>65</v>
      </c>
      <c r="E16" s="309"/>
      <c r="F16" s="42" t="s">
        <v>10</v>
      </c>
      <c r="G16" s="42" t="s">
        <v>0</v>
      </c>
      <c r="H16" s="42" t="s">
        <v>21</v>
      </c>
      <c r="I16" s="42" t="s">
        <v>29</v>
      </c>
      <c r="J16" s="42" t="s">
        <v>28</v>
      </c>
      <c r="K16" s="42" t="s">
        <v>22</v>
      </c>
      <c r="L16" s="42" t="s">
        <v>48</v>
      </c>
      <c r="M16" s="37" t="s">
        <v>21</v>
      </c>
      <c r="N16" s="36" t="s">
        <v>29</v>
      </c>
      <c r="O16" s="37" t="s">
        <v>28</v>
      </c>
      <c r="P16" s="36" t="s">
        <v>22</v>
      </c>
      <c r="Q16" s="37" t="s">
        <v>48</v>
      </c>
      <c r="R16" s="45" t="s">
        <v>21</v>
      </c>
      <c r="S16" s="48" t="s">
        <v>29</v>
      </c>
      <c r="T16" s="45" t="s">
        <v>28</v>
      </c>
      <c r="U16" s="48" t="s">
        <v>22</v>
      </c>
      <c r="V16" s="45" t="s">
        <v>48</v>
      </c>
      <c r="W16" s="57"/>
      <c r="X16" s="57"/>
      <c r="Y16" s="57"/>
      <c r="Z16" s="57"/>
      <c r="AA16" s="57"/>
      <c r="AB16" s="57"/>
      <c r="AC16" s="57"/>
      <c r="AD16" s="79" t="s">
        <v>21</v>
      </c>
      <c r="AE16" s="52" t="s">
        <v>29</v>
      </c>
      <c r="AF16" s="52" t="s">
        <v>28</v>
      </c>
      <c r="AG16" s="52" t="s">
        <v>22</v>
      </c>
      <c r="AH16" s="76" t="s">
        <v>48</v>
      </c>
      <c r="AI16" s="79" t="s">
        <v>21</v>
      </c>
      <c r="AJ16" s="52" t="s">
        <v>29</v>
      </c>
      <c r="AK16" s="52" t="s">
        <v>28</v>
      </c>
      <c r="AL16" s="52" t="s">
        <v>22</v>
      </c>
      <c r="AM16" s="76" t="s">
        <v>48</v>
      </c>
      <c r="AN16" s="79" t="s">
        <v>21</v>
      </c>
      <c r="AO16" s="52" t="s">
        <v>29</v>
      </c>
      <c r="AP16" s="52" t="s">
        <v>28</v>
      </c>
      <c r="AQ16" s="52" t="s">
        <v>22</v>
      </c>
      <c r="AR16" s="76" t="s">
        <v>48</v>
      </c>
      <c r="AS16" s="79" t="s">
        <v>21</v>
      </c>
      <c r="AT16" s="52" t="s">
        <v>29</v>
      </c>
      <c r="AU16" s="52" t="s">
        <v>28</v>
      </c>
      <c r="AV16" s="52" t="s">
        <v>22</v>
      </c>
      <c r="AW16" s="76" t="s">
        <v>48</v>
      </c>
      <c r="AX16" s="79" t="s">
        <v>21</v>
      </c>
      <c r="AY16" s="52" t="s">
        <v>29</v>
      </c>
      <c r="AZ16" s="52" t="s">
        <v>28</v>
      </c>
      <c r="BA16" s="52" t="s">
        <v>22</v>
      </c>
      <c r="BB16" s="76" t="s">
        <v>48</v>
      </c>
      <c r="BC16" s="79" t="s">
        <v>21</v>
      </c>
      <c r="BD16" s="52" t="s">
        <v>29</v>
      </c>
      <c r="BE16" s="52" t="s">
        <v>28</v>
      </c>
      <c r="BF16" s="52" t="s">
        <v>22</v>
      </c>
      <c r="BG16" s="76"/>
      <c r="BH16" s="79" t="s">
        <v>21</v>
      </c>
      <c r="BI16" s="52" t="s">
        <v>29</v>
      </c>
      <c r="BJ16" s="52" t="s">
        <v>28</v>
      </c>
      <c r="BK16" s="52" t="s">
        <v>22</v>
      </c>
      <c r="BL16" s="76"/>
      <c r="BM16" s="79" t="s">
        <v>21</v>
      </c>
      <c r="BN16" s="52" t="s">
        <v>29</v>
      </c>
      <c r="BO16" s="52" t="s">
        <v>28</v>
      </c>
      <c r="BP16" s="52" t="s">
        <v>22</v>
      </c>
      <c r="BQ16" s="76" t="s">
        <v>48</v>
      </c>
    </row>
    <row r="17" spans="1:69" ht="45" outlineLevel="1" x14ac:dyDescent="0.25">
      <c r="A17" s="88" t="s">
        <v>18</v>
      </c>
      <c r="B17" s="9" t="s">
        <v>97</v>
      </c>
      <c r="C17" s="9" t="s">
        <v>101</v>
      </c>
      <c r="D17" s="310" t="s">
        <v>98</v>
      </c>
      <c r="E17" s="311"/>
      <c r="F17" s="9" t="s">
        <v>112</v>
      </c>
      <c r="G17" s="9" t="s">
        <v>99</v>
      </c>
      <c r="H17" s="9">
        <v>0</v>
      </c>
      <c r="I17" s="9">
        <v>0</v>
      </c>
      <c r="J17" s="9">
        <v>0</v>
      </c>
      <c r="K17" s="9">
        <v>0</v>
      </c>
      <c r="L17" s="235" t="s">
        <v>103</v>
      </c>
      <c r="M17" s="130" t="s">
        <v>103</v>
      </c>
      <c r="N17" s="180" t="s">
        <v>103</v>
      </c>
      <c r="O17" s="157" t="s">
        <v>103</v>
      </c>
      <c r="P17" s="180">
        <f>4*20</f>
        <v>80</v>
      </c>
      <c r="Q17" s="157" t="s">
        <v>103</v>
      </c>
      <c r="R17" s="133" t="s">
        <v>103</v>
      </c>
      <c r="S17" s="159" t="s">
        <v>103</v>
      </c>
      <c r="T17" s="160" t="s">
        <v>103</v>
      </c>
      <c r="U17" s="159">
        <v>80</v>
      </c>
      <c r="V17" s="160" t="s">
        <v>103</v>
      </c>
      <c r="W17" s="57"/>
      <c r="X17" s="57"/>
      <c r="Y17" s="57"/>
      <c r="Z17" s="57"/>
      <c r="AA17" s="57"/>
      <c r="AB17" s="57"/>
      <c r="AC17" s="57"/>
      <c r="AD17" s="202"/>
      <c r="AE17" s="203"/>
      <c r="AF17" s="203"/>
      <c r="AG17" s="203"/>
      <c r="AH17" s="204"/>
      <c r="AI17" s="202"/>
      <c r="AJ17" s="203"/>
      <c r="AK17" s="203"/>
      <c r="AL17" s="203"/>
      <c r="AM17" s="204"/>
      <c r="AN17" s="202"/>
      <c r="AO17" s="203"/>
      <c r="AP17" s="203"/>
      <c r="AQ17" s="203"/>
      <c r="AR17" s="204"/>
      <c r="AS17" s="202"/>
      <c r="AT17" s="203"/>
      <c r="AU17" s="203"/>
      <c r="AV17" s="203"/>
      <c r="AW17" s="204"/>
      <c r="AX17" s="202"/>
      <c r="AY17" s="203"/>
      <c r="AZ17" s="203"/>
      <c r="BA17" s="203"/>
      <c r="BB17" s="204"/>
      <c r="BC17" s="202"/>
      <c r="BD17" s="203"/>
      <c r="BE17" s="203"/>
      <c r="BF17" s="203"/>
      <c r="BG17" s="204"/>
      <c r="BH17" s="202"/>
      <c r="BI17" s="203"/>
      <c r="BJ17" s="203"/>
      <c r="BK17" s="203"/>
      <c r="BL17" s="204"/>
      <c r="BM17" s="202"/>
      <c r="BN17" s="203"/>
      <c r="BO17" s="203"/>
      <c r="BP17" s="203"/>
      <c r="BQ17" s="204"/>
    </row>
    <row r="18" spans="1:69" ht="31.5" customHeight="1" outlineLevel="1" x14ac:dyDescent="0.35">
      <c r="A18" s="5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57"/>
      <c r="M18" s="57"/>
      <c r="N18" s="57"/>
      <c r="O18" s="57"/>
      <c r="P18" s="57"/>
      <c r="Q18" s="57"/>
      <c r="R18" s="7"/>
      <c r="S18" s="7"/>
      <c r="T18" s="57"/>
      <c r="U18" s="57"/>
      <c r="V18" s="57"/>
      <c r="W18" s="57"/>
      <c r="X18" s="116"/>
      <c r="Y18" s="117"/>
      <c r="Z18" s="117"/>
      <c r="AA18" s="117"/>
      <c r="AB18" s="117"/>
      <c r="AC18" s="117"/>
      <c r="AD18" s="117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4"/>
      <c r="BL18" s="84"/>
      <c r="BM18" s="84"/>
    </row>
    <row r="19" spans="1:69" ht="35.450000000000003" customHeight="1" outlineLevel="1" x14ac:dyDescent="0.35">
      <c r="A19" s="316" t="s">
        <v>96</v>
      </c>
      <c r="B19" s="316"/>
      <c r="C19" s="127"/>
      <c r="D19" s="127"/>
      <c r="E19" s="127"/>
      <c r="F19" s="127"/>
      <c r="G19" s="127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57"/>
      <c r="S19" s="57"/>
      <c r="T19" s="57"/>
      <c r="U19" s="57"/>
      <c r="V19" s="57"/>
      <c r="W19" s="57"/>
      <c r="X19" s="8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84"/>
    </row>
    <row r="20" spans="1:69" ht="24.6" customHeight="1" outlineLevel="1" x14ac:dyDescent="0.25">
      <c r="A20" s="302" t="s">
        <v>100</v>
      </c>
      <c r="B20" s="303"/>
      <c r="C20" s="303"/>
      <c r="D20" s="303"/>
      <c r="E20" s="303"/>
      <c r="F20" s="303"/>
      <c r="G20" s="303"/>
      <c r="H20" s="123"/>
      <c r="I20" s="123"/>
      <c r="J20" s="123"/>
      <c r="K20" s="57"/>
      <c r="L20" s="57"/>
      <c r="M20" s="57"/>
      <c r="N20" s="57"/>
      <c r="O20" s="57"/>
      <c r="P20" s="57"/>
      <c r="Q20" s="118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84"/>
    </row>
    <row r="21" spans="1:69" x14ac:dyDescent="0.25">
      <c r="A21" s="302" t="s">
        <v>102</v>
      </c>
      <c r="B21" s="303"/>
      <c r="C21" s="303"/>
      <c r="D21" s="303"/>
      <c r="E21" s="303"/>
      <c r="F21" s="303"/>
      <c r="G21" s="303"/>
    </row>
    <row r="22" spans="1:69" x14ac:dyDescent="0.25">
      <c r="A22" t="s">
        <v>124</v>
      </c>
    </row>
    <row r="23" spans="1:69" x14ac:dyDescent="0.25">
      <c r="A23" t="s">
        <v>125</v>
      </c>
    </row>
    <row r="24" spans="1:69" x14ac:dyDescent="0.25">
      <c r="A24" t="s">
        <v>126</v>
      </c>
    </row>
    <row r="25" spans="1:69" x14ac:dyDescent="0.25">
      <c r="A25" t="s">
        <v>154</v>
      </c>
    </row>
  </sheetData>
  <mergeCells count="40">
    <mergeCell ref="D4:E4"/>
    <mergeCell ref="D5:E5"/>
    <mergeCell ref="A8:Q8"/>
    <mergeCell ref="A1:W1"/>
    <mergeCell ref="A3:G3"/>
    <mergeCell ref="H3:K3"/>
    <mergeCell ref="L3:O3"/>
    <mergeCell ref="P3:S3"/>
    <mergeCell ref="T3:W3"/>
    <mergeCell ref="D6:E6"/>
    <mergeCell ref="Q10:V10"/>
    <mergeCell ref="F11:G11"/>
    <mergeCell ref="F12:G12"/>
    <mergeCell ref="F13:G13"/>
    <mergeCell ref="A15:G15"/>
    <mergeCell ref="M15:Q15"/>
    <mergeCell ref="R15:V15"/>
    <mergeCell ref="F10:G10"/>
    <mergeCell ref="BM15:BQ15"/>
    <mergeCell ref="D16:E16"/>
    <mergeCell ref="AD15:AH15"/>
    <mergeCell ref="AI15:AM15"/>
    <mergeCell ref="AN15:AR15"/>
    <mergeCell ref="AS15:AW15"/>
    <mergeCell ref="AX15:BB15"/>
    <mergeCell ref="BC15:BG15"/>
    <mergeCell ref="H15:L15"/>
    <mergeCell ref="BH15:BL15"/>
    <mergeCell ref="D17:E17"/>
    <mergeCell ref="A21:G21"/>
    <mergeCell ref="BC19:BG19"/>
    <mergeCell ref="BH19:BL19"/>
    <mergeCell ref="A20:G20"/>
    <mergeCell ref="Y19:AC19"/>
    <mergeCell ref="AD19:AH19"/>
    <mergeCell ref="AI19:AM19"/>
    <mergeCell ref="AN19:AR19"/>
    <mergeCell ref="AS19:AW19"/>
    <mergeCell ref="AX19:BB19"/>
    <mergeCell ref="A19:B19"/>
  </mergeCells>
  <pageMargins left="0.7" right="0.7" top="0.75" bottom="0.75" header="0.3" footer="0.3"/>
  <pageSetup paperSize="8" scale="86" fitToWidth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34" sqref="A34"/>
    </sheetView>
  </sheetViews>
  <sheetFormatPr defaultRowHeight="15" x14ac:dyDescent="0.25"/>
  <cols>
    <col min="1" max="1" width="18.28515625" bestFit="1" customWidth="1"/>
    <col min="2" max="2" width="15.7109375" bestFit="1" customWidth="1"/>
    <col min="3" max="3" width="23.42578125" bestFit="1" customWidth="1"/>
    <col min="4" max="4" width="24.28515625" bestFit="1" customWidth="1"/>
    <col min="5" max="5" width="15.7109375" customWidth="1"/>
    <col min="6" max="6" width="12.85546875" customWidth="1"/>
    <col min="7" max="7" width="12.140625" customWidth="1"/>
    <col min="8" max="8" width="13.42578125" customWidth="1"/>
    <col min="9" max="9" width="15.140625" customWidth="1"/>
    <col min="10" max="10" width="13.140625" customWidth="1"/>
    <col min="11" max="11" width="15.28515625" customWidth="1"/>
    <col min="12" max="12" width="17.140625" customWidth="1"/>
    <col min="13" max="13" width="14.42578125" bestFit="1" customWidth="1"/>
    <col min="14" max="14" width="9.28515625" bestFit="1" customWidth="1"/>
  </cols>
  <sheetData>
    <row r="1" spans="1:14" x14ac:dyDescent="0.25">
      <c r="A1" s="360" t="s">
        <v>169</v>
      </c>
      <c r="B1" s="360" t="s">
        <v>170</v>
      </c>
      <c r="C1" s="363" t="s">
        <v>171</v>
      </c>
      <c r="D1" s="363" t="s">
        <v>172</v>
      </c>
      <c r="E1" s="349" t="s">
        <v>172</v>
      </c>
      <c r="F1" s="349"/>
      <c r="G1" s="349"/>
      <c r="H1" s="349"/>
      <c r="I1" s="349"/>
      <c r="J1" s="349"/>
      <c r="K1" s="349"/>
      <c r="L1" s="349"/>
      <c r="M1" s="349"/>
      <c r="N1" s="349"/>
    </row>
    <row r="2" spans="1:14" x14ac:dyDescent="0.25">
      <c r="A2" s="361"/>
      <c r="B2" s="361"/>
      <c r="C2" s="364"/>
      <c r="D2" s="364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30" x14ac:dyDescent="0.25">
      <c r="A3" s="362"/>
      <c r="B3" s="362"/>
      <c r="C3" s="365"/>
      <c r="D3" s="365"/>
      <c r="E3" s="244" t="s">
        <v>173</v>
      </c>
      <c r="F3" s="244" t="s">
        <v>174</v>
      </c>
      <c r="G3" s="245" t="s">
        <v>175</v>
      </c>
      <c r="H3" s="245" t="s">
        <v>176</v>
      </c>
      <c r="I3" s="246" t="s">
        <v>177</v>
      </c>
      <c r="J3" s="247" t="s">
        <v>178</v>
      </c>
      <c r="K3" s="246" t="s">
        <v>179</v>
      </c>
      <c r="L3" s="246" t="s">
        <v>180</v>
      </c>
      <c r="M3" s="246" t="s">
        <v>181</v>
      </c>
      <c r="N3" s="246" t="s">
        <v>182</v>
      </c>
    </row>
    <row r="4" spans="1:14" ht="15.75" x14ac:dyDescent="0.25">
      <c r="A4" s="248" t="s">
        <v>183</v>
      </c>
      <c r="B4" s="249">
        <v>4035042</v>
      </c>
      <c r="C4" s="250">
        <v>528574</v>
      </c>
      <c r="D4" s="251">
        <v>176500</v>
      </c>
      <c r="E4" s="252">
        <f>D4*F4</f>
        <v>87720.5</v>
      </c>
      <c r="F4" s="253">
        <v>0.497</v>
      </c>
      <c r="G4" s="252">
        <f>D4*H4</f>
        <v>88713.3125</v>
      </c>
      <c r="H4" s="254">
        <v>0.50262499999999999</v>
      </c>
      <c r="I4" s="255">
        <f>D4*J4</f>
        <v>54979.75</v>
      </c>
      <c r="J4" s="256">
        <v>0.3115</v>
      </c>
      <c r="K4" s="252">
        <f>L4*D4</f>
        <v>28840.1</v>
      </c>
      <c r="L4" s="256">
        <v>0.16339999999999999</v>
      </c>
      <c r="M4" s="257"/>
      <c r="N4" s="258"/>
    </row>
    <row r="5" spans="1:14" ht="15.75" x14ac:dyDescent="0.25">
      <c r="A5" s="248" t="s">
        <v>184</v>
      </c>
      <c r="B5" s="249">
        <v>1500000</v>
      </c>
      <c r="C5" s="250">
        <v>1500000</v>
      </c>
      <c r="D5" s="251">
        <v>1065000</v>
      </c>
      <c r="E5" s="252">
        <f t="shared" ref="E5:E7" si="0">D5*F5</f>
        <v>553800</v>
      </c>
      <c r="F5" s="259">
        <v>0.52</v>
      </c>
      <c r="G5" s="252">
        <f t="shared" ref="G5:G7" si="1">D5*H5</f>
        <v>511200</v>
      </c>
      <c r="H5" s="254">
        <v>0.48</v>
      </c>
      <c r="I5" s="255">
        <f t="shared" ref="I5:I7" si="2">D5*J5</f>
        <v>570840</v>
      </c>
      <c r="J5" s="256">
        <v>0.53600000000000003</v>
      </c>
      <c r="K5" s="252">
        <f t="shared" ref="K5:K7" si="3">L5*D5</f>
        <v>203415</v>
      </c>
      <c r="L5" s="256">
        <v>0.191</v>
      </c>
      <c r="M5" s="252">
        <f>N5*D5</f>
        <v>109695</v>
      </c>
      <c r="N5" s="256">
        <v>0.10299999999999999</v>
      </c>
    </row>
    <row r="6" spans="1:14" ht="30" x14ac:dyDescent="0.25">
      <c r="A6" s="248" t="s">
        <v>185</v>
      </c>
      <c r="B6" s="249">
        <v>31502</v>
      </c>
      <c r="C6" s="250">
        <v>31502</v>
      </c>
      <c r="D6" s="251">
        <v>31502</v>
      </c>
      <c r="E6" s="252">
        <f t="shared" si="0"/>
        <v>15908.51</v>
      </c>
      <c r="F6" s="253">
        <v>0.505</v>
      </c>
      <c r="G6" s="252">
        <f t="shared" si="1"/>
        <v>15593.490000000002</v>
      </c>
      <c r="H6" s="254">
        <v>0.49500000000000005</v>
      </c>
      <c r="I6" s="255">
        <f t="shared" si="2"/>
        <v>11542.3328</v>
      </c>
      <c r="J6" s="256">
        <v>0.3664</v>
      </c>
      <c r="K6" s="252">
        <f t="shared" si="3"/>
        <v>5059.2212</v>
      </c>
      <c r="L6" s="256">
        <v>0.16059999999999999</v>
      </c>
      <c r="M6" s="257"/>
      <c r="N6" s="258"/>
    </row>
    <row r="7" spans="1:14" ht="30" x14ac:dyDescent="0.25">
      <c r="A7" s="248" t="s">
        <v>186</v>
      </c>
      <c r="B7" s="249">
        <v>277985</v>
      </c>
      <c r="C7" s="250">
        <v>180690</v>
      </c>
      <c r="D7" s="251">
        <v>3200</v>
      </c>
      <c r="E7" s="252">
        <f t="shared" si="0"/>
        <v>1616</v>
      </c>
      <c r="F7" s="253">
        <v>0.505</v>
      </c>
      <c r="G7" s="252">
        <f t="shared" si="1"/>
        <v>1584</v>
      </c>
      <c r="H7" s="254">
        <v>0.495</v>
      </c>
      <c r="I7" s="255">
        <f t="shared" si="2"/>
        <v>1219.8399999999999</v>
      </c>
      <c r="J7" s="256">
        <v>0.38119999999999998</v>
      </c>
      <c r="K7" s="252">
        <f t="shared" si="3"/>
        <v>588.79999999999995</v>
      </c>
      <c r="L7" s="256">
        <v>0.184</v>
      </c>
      <c r="M7" s="257"/>
      <c r="N7" s="258"/>
    </row>
    <row r="8" spans="1:14" ht="15.75" x14ac:dyDescent="0.25">
      <c r="A8" s="260" t="s">
        <v>187</v>
      </c>
      <c r="B8" s="249">
        <f>SUM(B4:B7)</f>
        <v>5844529</v>
      </c>
      <c r="C8" s="261">
        <f>SUM(C4:C7)</f>
        <v>2240766</v>
      </c>
      <c r="D8" s="261">
        <f>ROUND(SUM(D4:D7),-3)</f>
        <v>1276000</v>
      </c>
      <c r="E8" s="261">
        <f>ROUND(SUM(E4:E7),-3)</f>
        <v>659000</v>
      </c>
      <c r="F8" s="262"/>
      <c r="G8" s="261">
        <f>ROUND(SUM(G4:G7),-3)</f>
        <v>617000</v>
      </c>
      <c r="H8" s="254"/>
      <c r="I8" s="261">
        <f>ROUND(SUM(I4:I7),-3)</f>
        <v>639000</v>
      </c>
      <c r="J8" s="263"/>
      <c r="K8" s="261">
        <f>ROUND(SUM(K4:K7),-3)</f>
        <v>238000</v>
      </c>
      <c r="L8" s="263"/>
      <c r="M8" s="264"/>
      <c r="N8" s="265"/>
    </row>
    <row r="9" spans="1:14" x14ac:dyDescent="0.25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4" x14ac:dyDescent="0.25">
      <c r="A10" s="350" t="s">
        <v>188</v>
      </c>
      <c r="B10" s="351"/>
      <c r="C10" s="352"/>
      <c r="D10" s="267" t="s">
        <v>189</v>
      </c>
      <c r="E10" s="267" t="s">
        <v>190</v>
      </c>
      <c r="F10" s="268"/>
      <c r="G10" s="353" t="s">
        <v>191</v>
      </c>
      <c r="H10" s="354"/>
      <c r="I10" s="354"/>
      <c r="J10" s="354"/>
      <c r="K10" s="354"/>
      <c r="L10" s="354"/>
      <c r="M10" s="354"/>
      <c r="N10" s="355"/>
    </row>
    <row r="11" spans="1:14" x14ac:dyDescent="0.25">
      <c r="A11" s="359" t="s">
        <v>192</v>
      </c>
      <c r="B11" s="359"/>
      <c r="C11" s="359"/>
      <c r="D11" s="269"/>
      <c r="E11" s="269"/>
      <c r="F11" s="268"/>
      <c r="G11" s="356"/>
      <c r="H11" s="357"/>
      <c r="I11" s="357"/>
      <c r="J11" s="357"/>
      <c r="K11" s="357"/>
      <c r="L11" s="357"/>
      <c r="M11" s="357"/>
      <c r="N11" s="358"/>
    </row>
    <row r="12" spans="1:14" x14ac:dyDescent="0.25">
      <c r="A12" s="359" t="s">
        <v>193</v>
      </c>
      <c r="B12" s="359"/>
      <c r="C12" s="359"/>
      <c r="D12" s="269"/>
      <c r="E12" s="269"/>
      <c r="F12" s="268"/>
      <c r="G12" s="266"/>
      <c r="H12" s="266"/>
      <c r="I12" s="266"/>
      <c r="J12" s="266"/>
      <c r="K12" s="266"/>
      <c r="L12" s="266"/>
      <c r="M12" s="266"/>
      <c r="N12" s="266"/>
    </row>
    <row r="13" spans="1:14" x14ac:dyDescent="0.25">
      <c r="A13" s="359" t="s">
        <v>194</v>
      </c>
      <c r="B13" s="359"/>
      <c r="C13" s="359"/>
      <c r="D13" s="269"/>
      <c r="E13" s="269"/>
      <c r="F13" s="268"/>
      <c r="G13" s="266"/>
      <c r="H13" s="266"/>
      <c r="I13" s="266"/>
      <c r="J13" s="266"/>
      <c r="K13" s="266"/>
      <c r="L13" s="266"/>
      <c r="M13" s="266"/>
      <c r="N13" s="266"/>
    </row>
    <row r="14" spans="1:14" x14ac:dyDescent="0.25">
      <c r="A14" s="359" t="s">
        <v>195</v>
      </c>
      <c r="B14" s="359"/>
      <c r="C14" s="359"/>
      <c r="D14" s="269"/>
      <c r="E14" s="269"/>
      <c r="F14" s="268"/>
      <c r="G14" s="266"/>
      <c r="H14" s="266"/>
      <c r="I14" s="266"/>
      <c r="J14" s="266"/>
      <c r="K14" s="266"/>
      <c r="L14" s="266"/>
      <c r="M14" s="266"/>
      <c r="N14" s="266"/>
    </row>
    <row r="15" spans="1:14" x14ac:dyDescent="0.25">
      <c r="A15" s="359" t="s">
        <v>196</v>
      </c>
      <c r="B15" s="359"/>
      <c r="C15" s="359"/>
      <c r="D15" s="269"/>
      <c r="E15" s="269"/>
      <c r="F15" s="268"/>
      <c r="G15" s="266"/>
      <c r="H15" s="266"/>
      <c r="I15" s="266"/>
      <c r="J15" s="266"/>
      <c r="K15" s="266"/>
      <c r="L15" s="266"/>
      <c r="M15" s="266"/>
      <c r="N15" s="266"/>
    </row>
    <row r="16" spans="1:14" x14ac:dyDescent="0.25">
      <c r="A16" s="359" t="s">
        <v>197</v>
      </c>
      <c r="B16" s="359"/>
      <c r="C16" s="359"/>
      <c r="D16" s="269"/>
      <c r="E16" s="269"/>
      <c r="F16" s="268"/>
      <c r="G16" s="266"/>
      <c r="H16" s="266"/>
      <c r="I16" s="266"/>
      <c r="J16" s="266"/>
      <c r="K16" s="266"/>
      <c r="L16" s="266"/>
      <c r="M16" s="266"/>
      <c r="N16" s="266"/>
    </row>
    <row r="17" spans="1:14" x14ac:dyDescent="0.25">
      <c r="A17" s="359" t="s">
        <v>217</v>
      </c>
      <c r="B17" s="359"/>
      <c r="C17" s="359"/>
      <c r="D17" s="269">
        <v>1</v>
      </c>
      <c r="E17" s="269">
        <v>1</v>
      </c>
      <c r="F17" s="268"/>
      <c r="G17" s="266"/>
      <c r="H17" s="266"/>
      <c r="I17" s="266"/>
      <c r="J17" s="266"/>
      <c r="K17" s="266"/>
      <c r="L17" s="266"/>
      <c r="M17" s="266"/>
      <c r="N17" s="266"/>
    </row>
  </sheetData>
  <mergeCells count="14">
    <mergeCell ref="E1:N2"/>
    <mergeCell ref="A10:C10"/>
    <mergeCell ref="G10:N11"/>
    <mergeCell ref="A11:C11"/>
    <mergeCell ref="A17:C17"/>
    <mergeCell ref="A1:A3"/>
    <mergeCell ref="B1:B3"/>
    <mergeCell ref="C1:C3"/>
    <mergeCell ref="D1:D3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Readme</vt:lpstr>
      <vt:lpstr>Summary</vt:lpstr>
      <vt:lpstr>Outcome 1</vt:lpstr>
      <vt:lpstr>Outcome 2</vt:lpstr>
      <vt:lpstr>Outcome  3</vt:lpstr>
      <vt:lpstr>PIN</vt:lpstr>
      <vt:lpstr>'Outcome 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Hrayr Wannis</dc:creator>
  <cp:lastModifiedBy>UNHCRuser</cp:lastModifiedBy>
  <cp:lastPrinted>2016-10-17T10:34:11Z</cp:lastPrinted>
  <dcterms:created xsi:type="dcterms:W3CDTF">2014-08-29T13:09:43Z</dcterms:created>
  <dcterms:modified xsi:type="dcterms:W3CDTF">2017-01-11T12:44:57Z</dcterms:modified>
</cp:coreProperties>
</file>