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aha\Desktop\"/>
    </mc:Choice>
  </mc:AlternateContent>
  <bookViews>
    <workbookView xWindow="0" yWindow="0" windowWidth="19200" windowHeight="6705"/>
  </bookViews>
  <sheets>
    <sheet name="Readme" sheetId="29" r:id="rId1"/>
    <sheet name="Summary" sheetId="22" r:id="rId2"/>
    <sheet name="Outcome 1" sheetId="37" r:id="rId3"/>
    <sheet name="Outcome 2" sheetId="38" r:id="rId4"/>
    <sheet name="Outcome  3" sheetId="39" r:id="rId5"/>
    <sheet name="PIN" sheetId="40" r:id="rId6"/>
    <sheet name="Calculation" sheetId="41" r:id="rId7"/>
  </sheets>
  <definedNames>
    <definedName name="_xlnm.Print_Area" localSheetId="4">'Outcome  3'!$A$1:$V$23</definedName>
  </definedNames>
  <calcPr calcId="152511"/>
</workbook>
</file>

<file path=xl/calcChain.xml><?xml version="1.0" encoding="utf-8"?>
<calcChain xmlns="http://schemas.openxmlformats.org/spreadsheetml/2006/main">
  <c r="E6" i="41" l="1"/>
  <c r="E7" i="41" s="1"/>
  <c r="E9" i="41"/>
  <c r="F9" i="41"/>
  <c r="G9" i="41"/>
  <c r="H9" i="41"/>
  <c r="I9" i="41"/>
  <c r="J9" i="41"/>
  <c r="K9" i="41"/>
  <c r="L9" i="41"/>
  <c r="M9" i="41"/>
  <c r="N9" i="41"/>
  <c r="O9" i="41"/>
  <c r="D9" i="41"/>
  <c r="D7" i="41"/>
  <c r="E5" i="41"/>
  <c r="F5" i="41"/>
  <c r="G5" i="41"/>
  <c r="H5" i="41"/>
  <c r="I5" i="41"/>
  <c r="J5" i="41"/>
  <c r="K5" i="41"/>
  <c r="L5" i="41"/>
  <c r="M5" i="41"/>
  <c r="N5" i="41"/>
  <c r="O5" i="41"/>
  <c r="D5" i="41"/>
  <c r="E4" i="41"/>
  <c r="F6" i="41" l="1"/>
  <c r="F4" i="41"/>
  <c r="G4" i="41" s="1"/>
  <c r="H4" i="41" s="1"/>
  <c r="C10" i="37"/>
  <c r="C28" i="39"/>
  <c r="C30" i="38"/>
  <c r="G6" i="41" l="1"/>
  <c r="F7" i="41"/>
  <c r="I4" i="41"/>
  <c r="I9" i="37"/>
  <c r="C10" i="38"/>
  <c r="H6" i="41" l="1"/>
  <c r="G7" i="41"/>
  <c r="J4" i="41"/>
  <c r="C12" i="37"/>
  <c r="I6" i="41" l="1"/>
  <c r="H7" i="41"/>
  <c r="K4" i="41"/>
  <c r="C12" i="38"/>
  <c r="J6" i="41" l="1"/>
  <c r="I7" i="41"/>
  <c r="L4" i="41"/>
  <c r="C30" i="22"/>
  <c r="C10" i="39"/>
  <c r="D10" i="38"/>
  <c r="BP16" i="38"/>
  <c r="BK16" i="38"/>
  <c r="BF16" i="38"/>
  <c r="BA16" i="38"/>
  <c r="AV16" i="38"/>
  <c r="AQ16" i="38"/>
  <c r="AL16" i="38"/>
  <c r="AG16" i="38"/>
  <c r="K6" i="41" l="1"/>
  <c r="J7" i="41"/>
  <c r="M4" i="41"/>
  <c r="C17" i="22"/>
  <c r="C16" i="22"/>
  <c r="C15" i="22"/>
  <c r="C14" i="22"/>
  <c r="B17" i="22"/>
  <c r="B14" i="22"/>
  <c r="B16" i="22"/>
  <c r="B15" i="22"/>
  <c r="F30" i="22"/>
  <c r="G30" i="22"/>
  <c r="H30" i="22"/>
  <c r="D10" i="37"/>
  <c r="AG16" i="37"/>
  <c r="AL16" i="37"/>
  <c r="AQ16" i="37"/>
  <c r="AV16" i="37"/>
  <c r="BA16" i="37"/>
  <c r="BF16" i="37"/>
  <c r="BK16" i="37"/>
  <c r="BP16" i="37"/>
  <c r="L6" i="41" l="1"/>
  <c r="K7" i="41"/>
  <c r="N4" i="41"/>
  <c r="D5" i="40"/>
  <c r="P16" i="38"/>
  <c r="P36" i="38"/>
  <c r="C32" i="38" s="1"/>
  <c r="M6" i="41" l="1"/>
  <c r="L7" i="41"/>
  <c r="O4" i="41"/>
  <c r="D28" i="39"/>
  <c r="N6" i="41" l="1"/>
  <c r="M7" i="41"/>
  <c r="P16" i="37"/>
  <c r="O6" i="41" l="1"/>
  <c r="O7" i="41" s="1"/>
  <c r="N7" i="41"/>
  <c r="D8" i="40"/>
  <c r="C8" i="40"/>
  <c r="B8" i="40"/>
  <c r="K7" i="40"/>
  <c r="I7" i="40"/>
  <c r="G7" i="40"/>
  <c r="E7" i="40"/>
  <c r="K6" i="40"/>
  <c r="I6" i="40"/>
  <c r="G6" i="40"/>
  <c r="E6" i="40"/>
  <c r="M5" i="40"/>
  <c r="K5" i="40"/>
  <c r="I5" i="40"/>
  <c r="G5" i="40"/>
  <c r="E5" i="40"/>
  <c r="K4" i="40"/>
  <c r="I4" i="40"/>
  <c r="I8" i="40" s="1"/>
  <c r="G4" i="40"/>
  <c r="G8" i="40" s="1"/>
  <c r="E4" i="40"/>
  <c r="E8" i="40" l="1"/>
  <c r="K8" i="40"/>
  <c r="D32" i="38"/>
  <c r="D12" i="38"/>
  <c r="D12" i="37"/>
  <c r="D11" i="37"/>
  <c r="B13" i="22" l="1"/>
  <c r="F24" i="22"/>
  <c r="D17" i="22" l="1"/>
  <c r="D16" i="22"/>
  <c r="D15" i="22"/>
  <c r="D14" i="22"/>
  <c r="C13" i="22"/>
  <c r="D30" i="38"/>
  <c r="D31" i="38"/>
  <c r="D11" i="38"/>
  <c r="E29" i="22"/>
  <c r="H29" i="22" s="1"/>
  <c r="D29" i="22"/>
  <c r="G29" i="22" s="1"/>
  <c r="E26" i="22"/>
  <c r="H26" i="22" s="1"/>
  <c r="D26" i="22"/>
  <c r="E27" i="22"/>
  <c r="D27" i="22"/>
  <c r="G27" i="22" s="1"/>
  <c r="E24" i="22"/>
  <c r="H24" i="22" s="1"/>
  <c r="D24" i="22"/>
  <c r="G24" i="22" s="1"/>
  <c r="C27" i="22"/>
  <c r="F27" i="22" s="1"/>
  <c r="C24" i="22"/>
  <c r="D13" i="22" l="1"/>
  <c r="H27" i="22"/>
  <c r="G26" i="22"/>
  <c r="C29" i="22"/>
  <c r="D10" i="39" l="1"/>
  <c r="F29" i="22"/>
  <c r="C26" i="22" l="1"/>
  <c r="C8" i="22" s="1"/>
  <c r="C10" i="22" l="1"/>
  <c r="C9" i="22"/>
  <c r="F26" i="22"/>
  <c r="D8" i="22"/>
  <c r="D9" i="22" l="1"/>
  <c r="D10" i="22"/>
</calcChain>
</file>

<file path=xl/comments1.xml><?xml version="1.0" encoding="utf-8"?>
<comments xmlns="http://schemas.openxmlformats.org/spreadsheetml/2006/main">
  <authors>
    <author>Khalil Dagher</author>
    <author>ghosn</author>
    <author>UNHCRuser</author>
  </authors>
  <commentList>
    <comment ref="H2" authorId="0" shapeId="0">
      <text>
        <r>
          <rPr>
            <b/>
            <sz val="9"/>
            <color indexed="81"/>
            <rFont val="Tahoma"/>
            <charset val="1"/>
          </rPr>
          <t>Khalil Dagher:</t>
        </r>
        <r>
          <rPr>
            <sz val="9"/>
            <color indexed="81"/>
            <rFont val="Tahoma"/>
            <charset val="1"/>
          </rPr>
          <t xml:space="preserve">
Aim at 3% reduction per year</t>
        </r>
      </text>
    </comment>
    <comment ref="L2" authorId="0" shapeId="0">
      <text>
        <r>
          <rPr>
            <b/>
            <sz val="9"/>
            <color indexed="81"/>
            <rFont val="Tahoma"/>
            <charset val="1"/>
          </rPr>
          <t>Khalil Dagher:</t>
        </r>
        <r>
          <rPr>
            <sz val="9"/>
            <color indexed="81"/>
            <rFont val="Tahoma"/>
            <charset val="1"/>
          </rPr>
          <t xml:space="preserve">
Based on existing data from 2015 --&gt; taken from different refrence studies on PRL/PRS and NPTP for lebanese </t>
        </r>
      </text>
    </comment>
    <comment ref="H3" authorId="0" shapeId="0">
      <text>
        <r>
          <rPr>
            <b/>
            <sz val="9"/>
            <color indexed="81"/>
            <rFont val="Tahoma"/>
            <charset val="1"/>
          </rPr>
          <t>Khalil Dagher:</t>
        </r>
        <r>
          <rPr>
            <sz val="9"/>
            <color indexed="81"/>
            <rFont val="Tahoma"/>
            <charset val="1"/>
          </rPr>
          <t xml:space="preserve">
2017 VASYR estimation of HHs living below the SMEB
the 2016 result used in the LCRP 2017 - 2020 plan was 52%</t>
        </r>
      </text>
    </comment>
    <comment ref="B4" authorId="0" shapeId="0">
      <text>
        <r>
          <rPr>
            <b/>
            <sz val="9"/>
            <color indexed="81"/>
            <rFont val="Tahoma"/>
            <charset val="1"/>
          </rPr>
          <t>Khalil Dagher:</t>
        </r>
        <r>
          <rPr>
            <sz val="9"/>
            <color indexed="81"/>
            <rFont val="Tahoma"/>
            <charset val="1"/>
          </rPr>
          <t xml:space="preserve">
Strategic Objective 2</t>
        </r>
      </text>
    </comment>
    <comment ref="L4" authorId="1" shapeId="0">
      <text>
        <r>
          <rPr>
            <b/>
            <sz val="9"/>
            <color indexed="81"/>
            <rFont val="Tahoma"/>
            <family val="2"/>
          </rPr>
          <t>ghosn:</t>
        </r>
        <r>
          <rPr>
            <sz val="9"/>
            <color indexed="81"/>
            <rFont val="Tahoma"/>
            <family val="2"/>
          </rPr>
          <t xml:space="preserve">
source: UNRWA vulnerability assessment / pop package</t>
        </r>
      </text>
    </comment>
    <comment ref="P4" authorId="1" shapeId="0">
      <text>
        <r>
          <rPr>
            <b/>
            <sz val="9"/>
            <color indexed="81"/>
            <rFont val="Tahoma"/>
            <family val="2"/>
          </rPr>
          <t>ghosn:
source: UNRWA vulnerability assessment / pop package
targeted in winter only</t>
        </r>
      </text>
    </comment>
    <comment ref="T4" authorId="1" shapeId="0">
      <text>
        <r>
          <rPr>
            <b/>
            <sz val="9"/>
            <color indexed="81"/>
            <rFont val="Tahoma"/>
            <family val="2"/>
          </rPr>
          <t>ghosn:</t>
        </r>
        <r>
          <rPr>
            <sz val="9"/>
            <color indexed="81"/>
            <rFont val="Tahoma"/>
            <family val="2"/>
          </rPr>
          <t xml:space="preserve">
source: NPTP, extreme poverty line</t>
        </r>
      </text>
    </comment>
    <comment ref="B5" authorId="0" shapeId="0">
      <text>
        <r>
          <rPr>
            <b/>
            <sz val="9"/>
            <color indexed="81"/>
            <rFont val="Tahoma"/>
            <charset val="1"/>
          </rPr>
          <t>Khalil Dagher:</t>
        </r>
        <r>
          <rPr>
            <sz val="9"/>
            <color indexed="81"/>
            <rFont val="Tahoma"/>
            <charset val="1"/>
          </rPr>
          <t xml:space="preserve">
Strategic Objective 2</t>
        </r>
      </text>
    </comment>
    <comment ref="H5" authorId="2" shapeId="0">
      <text>
        <r>
          <rPr>
            <b/>
            <sz val="9"/>
            <color indexed="81"/>
            <rFont val="Tahoma"/>
            <family val="2"/>
          </rPr>
          <t>UNHCRuser:</t>
        </r>
        <r>
          <rPr>
            <sz val="9"/>
            <color indexed="81"/>
            <rFont val="Tahoma"/>
            <family val="2"/>
          </rPr>
          <t xml:space="preserve">
based on UNHCR cash PDM. Question" how much has the monthly cash assistance enabled you to meet your basic needs"
2016 / 2017</t>
        </r>
      </text>
    </comment>
    <comment ref="L5" authorId="2" shapeId="0">
      <text>
        <r>
          <rPr>
            <b/>
            <sz val="9"/>
            <color indexed="81"/>
            <rFont val="Tahoma"/>
            <family val="2"/>
          </rPr>
          <t>UNHCRuser:</t>
        </r>
        <r>
          <rPr>
            <sz val="9"/>
            <color indexed="81"/>
            <rFont val="Tahoma"/>
            <family val="2"/>
          </rPr>
          <t xml:space="preserve">
based on UNRWA cash PDM</t>
        </r>
      </text>
    </comment>
    <comment ref="C10" authorId="1" shapeId="0">
      <text>
        <r>
          <rPr>
            <b/>
            <sz val="9"/>
            <color indexed="81"/>
            <rFont val="Tahoma"/>
            <family val="2"/>
          </rPr>
          <t>Khalil Dagher:</t>
        </r>
        <r>
          <rPr>
            <sz val="9"/>
            <color indexed="81"/>
            <rFont val="Tahoma"/>
            <family val="2"/>
          </rPr>
          <t xml:space="preserve">
Syrians estimated based on inclusion rate of ~13000 per month in 2018 + Lebanese estimated based on inclusion rate of 3018 per month + 10200 PRS +  30,000 household visits for multipurpose (unit cost $30 PDMs, Baselines, Etc) + visits to 10,200 PAL HHs every quarter - unit cost $20 + education cash / unicef budget for 45,000 HHS (indicator C&amp;D) 
Note: the unicef budget includes cost of transfer + transaction +field support + supply services 
</t>
        </r>
      </text>
    </comment>
    <comment ref="D10" authorId="1" shapeId="0">
      <text>
        <r>
          <rPr>
            <b/>
            <sz val="9"/>
            <color indexed="81"/>
            <rFont val="Tahoma"/>
            <family val="2"/>
          </rPr>
          <t>ghosn:</t>
        </r>
        <r>
          <rPr>
            <sz val="9"/>
            <color indexed="81"/>
            <rFont val="Tahoma"/>
            <family val="2"/>
          </rPr>
          <t xml:space="preserve">
additional number of PRS</t>
        </r>
      </text>
    </comment>
    <comment ref="C12" authorId="1" shapeId="0">
      <text>
        <r>
          <rPr>
            <b/>
            <sz val="9"/>
            <color indexed="81"/>
            <rFont val="Tahoma"/>
            <family val="2"/>
          </rPr>
          <t>ghosn:</t>
        </r>
        <r>
          <rPr>
            <sz val="9"/>
            <color indexed="81"/>
            <rFont val="Tahoma"/>
            <family val="2"/>
          </rPr>
          <t xml:space="preserve">
total budget for Lebanese / overall budget
</t>
        </r>
      </text>
    </comment>
    <comment ref="H14" authorId="0" shapeId="0">
      <text>
        <r>
          <rPr>
            <b/>
            <sz val="9"/>
            <color indexed="81"/>
            <rFont val="Tahoma"/>
            <charset val="1"/>
          </rPr>
          <t>Khalil Dagher:</t>
        </r>
        <r>
          <rPr>
            <sz val="9"/>
            <color indexed="81"/>
            <rFont val="Tahoma"/>
            <charset val="1"/>
          </rPr>
          <t xml:space="preserve">
All based on the 2017 Achievments except for Lebanese</t>
        </r>
      </text>
    </comment>
    <comment ref="H16" authorId="2" shapeId="0">
      <text>
        <r>
          <rPr>
            <b/>
            <sz val="9"/>
            <color indexed="81"/>
            <rFont val="Tahoma"/>
            <family val="2"/>
          </rPr>
          <t>Khalil Dagher</t>
        </r>
        <r>
          <rPr>
            <sz val="9"/>
            <color indexed="81"/>
            <rFont val="Tahoma"/>
            <family val="2"/>
          </rPr>
          <t xml:space="preserve">
Estimated number of households receiving MCAP by end 2017. 
by the end of 2016, 50,000 HHs received assistance as well</t>
        </r>
      </text>
    </comment>
    <comment ref="I16" authorId="0" shapeId="0">
      <text>
        <r>
          <rPr>
            <b/>
            <sz val="9"/>
            <color indexed="81"/>
            <rFont val="Tahoma"/>
            <charset val="1"/>
          </rPr>
          <t>Khalil Dagher:</t>
        </r>
        <r>
          <rPr>
            <sz val="9"/>
            <color indexed="81"/>
            <rFont val="Tahoma"/>
            <charset val="1"/>
          </rPr>
          <t xml:space="preserve">
same baseline for 2016 and 2017 - same caseload maintained over 2 years and expected to continue in 2018</t>
        </r>
      </text>
    </comment>
    <comment ref="K16" authorId="0" shapeId="0">
      <text>
        <r>
          <rPr>
            <b/>
            <sz val="9"/>
            <color indexed="81"/>
            <rFont val="Tahoma"/>
            <charset val="1"/>
          </rPr>
          <t>Khalil Dagher:</t>
        </r>
        <r>
          <rPr>
            <sz val="9"/>
            <color indexed="81"/>
            <rFont val="Tahoma"/>
            <charset val="1"/>
          </rPr>
          <t xml:space="preserve">
end of 2016 and 1st Q of 2017</t>
        </r>
      </text>
    </comment>
    <comment ref="M16" authorId="1" shapeId="0">
      <text>
        <r>
          <rPr>
            <b/>
            <sz val="9"/>
            <color indexed="81"/>
            <rFont val="Tahoma"/>
            <family val="2"/>
          </rPr>
          <t>Khalil Dagher</t>
        </r>
        <r>
          <rPr>
            <sz val="9"/>
            <color indexed="81"/>
            <rFont val="Tahoma"/>
            <family val="2"/>
          </rPr>
          <t xml:space="preserve">
Full year target.
193,000 HHs identified by the 2017 DF being Poor (SV+HV)</t>
        </r>
      </text>
    </comment>
    <comment ref="P16" authorId="1" shapeId="0">
      <text>
        <r>
          <rPr>
            <b/>
            <sz val="9"/>
            <color indexed="81"/>
            <rFont val="Tahoma"/>
            <family val="2"/>
          </rPr>
          <t>Khalil Dagher:</t>
        </r>
        <r>
          <rPr>
            <sz val="9"/>
            <color indexed="81"/>
            <rFont val="Tahoma"/>
            <family val="2"/>
          </rPr>
          <t xml:space="preserve">
500 returnees; the rest NPTP
full year target for 2016 / 2017 / 2018</t>
        </r>
      </text>
    </comment>
    <comment ref="H17" authorId="0" shapeId="0">
      <text>
        <r>
          <rPr>
            <b/>
            <sz val="9"/>
            <color indexed="81"/>
            <rFont val="Tahoma"/>
            <charset val="1"/>
          </rPr>
          <t>Khalil Dagher:</t>
        </r>
        <r>
          <rPr>
            <sz val="9"/>
            <color indexed="81"/>
            <rFont val="Tahoma"/>
            <charset val="1"/>
          </rPr>
          <t xml:space="preserve">
50,000 HHs will be receiving assistance by the end of 2017 (Syr - MPC) divided by 125,000 SV identified by the DF
same result applies for end of 2016</t>
        </r>
      </text>
    </comment>
    <comment ref="H18" authorId="0" shapeId="0">
      <text>
        <r>
          <rPr>
            <b/>
            <sz val="9"/>
            <color indexed="81"/>
            <rFont val="Tahoma"/>
            <charset val="1"/>
          </rPr>
          <t>Khalil Dagher:</t>
        </r>
        <r>
          <rPr>
            <sz val="9"/>
            <color indexed="81"/>
            <rFont val="Tahoma"/>
            <charset val="1"/>
          </rPr>
          <t xml:space="preserve">
by the end of 2017.
this is a new activitiy that started in 2016/2017 scholastic year --&gt; end of 2016 this baseline was 0</t>
        </r>
      </text>
    </comment>
    <comment ref="H19" authorId="0" shapeId="0">
      <text>
        <r>
          <rPr>
            <b/>
            <sz val="9"/>
            <color indexed="81"/>
            <rFont val="Tahoma"/>
            <charset val="1"/>
          </rPr>
          <t>Khalil Dagher:
New activity starting in 2018</t>
        </r>
      </text>
    </comment>
  </commentList>
</comments>
</file>

<file path=xl/comments2.xml><?xml version="1.0" encoding="utf-8"?>
<comments xmlns="http://schemas.openxmlformats.org/spreadsheetml/2006/main">
  <authors>
    <author>Khalil Dagher</author>
    <author>UNHCRuser</author>
    <author>ghosn</author>
  </authors>
  <commentList>
    <comment ref="B4" authorId="0" shapeId="0">
      <text>
        <r>
          <rPr>
            <b/>
            <sz val="9"/>
            <color indexed="81"/>
            <rFont val="Tahoma"/>
            <charset val="1"/>
          </rPr>
          <t>Khalil Dagher:</t>
        </r>
        <r>
          <rPr>
            <sz val="9"/>
            <color indexed="81"/>
            <rFont val="Tahoma"/>
            <charset val="1"/>
          </rPr>
          <t xml:space="preserve">
Contingency component linked to the HCT / IA Contingency Plan. 
All figures are based on SC 3 - conflict with Israel, since it has a highest watermark in planning figures and budgets. </t>
        </r>
      </text>
    </comment>
    <comment ref="B5" authorId="1" shapeId="0">
      <text>
        <r>
          <rPr>
            <b/>
            <sz val="9"/>
            <color indexed="81"/>
            <rFont val="Tahoma"/>
            <family val="2"/>
          </rPr>
          <t>Khalil Dagher</t>
        </r>
        <r>
          <rPr>
            <sz val="9"/>
            <color indexed="81"/>
            <rFont val="Tahoma"/>
            <family val="2"/>
          </rPr>
          <t xml:space="preserve">
strategic objective 2</t>
        </r>
      </text>
    </comment>
    <comment ref="H5" authorId="2" shapeId="0">
      <text>
        <r>
          <rPr>
            <b/>
            <sz val="9"/>
            <color indexed="81"/>
            <rFont val="Tahoma"/>
            <family val="2"/>
          </rPr>
          <t>ghosn:</t>
        </r>
        <r>
          <rPr>
            <sz val="9"/>
            <color indexed="81"/>
            <rFont val="Tahoma"/>
            <family val="2"/>
          </rPr>
          <t xml:space="preserve">
to be tracked through PDMs
based on 2016 achievments </t>
        </r>
      </text>
    </comment>
    <comment ref="L5" authorId="2" shapeId="0">
      <text>
        <r>
          <rPr>
            <b/>
            <sz val="9"/>
            <color indexed="81"/>
            <rFont val="Tahoma"/>
            <family val="2"/>
          </rPr>
          <t>ghosn:</t>
        </r>
        <r>
          <rPr>
            <sz val="9"/>
            <color indexed="81"/>
            <rFont val="Tahoma"/>
            <family val="2"/>
          </rPr>
          <t xml:space="preserve">
to be tracked through PDMs</t>
        </r>
      </text>
    </comment>
    <comment ref="P5" authorId="2" shapeId="0">
      <text>
        <r>
          <rPr>
            <b/>
            <sz val="9"/>
            <color indexed="81"/>
            <rFont val="Tahoma"/>
            <family val="2"/>
          </rPr>
          <t>ghosn:</t>
        </r>
        <r>
          <rPr>
            <sz val="9"/>
            <color indexed="81"/>
            <rFont val="Tahoma"/>
            <family val="2"/>
          </rPr>
          <t xml:space="preserve">
to be tracked through PDMs</t>
        </r>
      </text>
    </comment>
    <comment ref="T5" authorId="2" shapeId="0">
      <text>
        <r>
          <rPr>
            <b/>
            <sz val="9"/>
            <color indexed="81"/>
            <rFont val="Tahoma"/>
            <family val="2"/>
          </rPr>
          <t>ghosn:</t>
        </r>
        <r>
          <rPr>
            <sz val="9"/>
            <color indexed="81"/>
            <rFont val="Tahoma"/>
            <family val="2"/>
          </rPr>
          <t xml:space="preserve">
to be tracked through PDMs</t>
        </r>
      </text>
    </comment>
    <comment ref="H14" authorId="0" shapeId="0">
      <text>
        <r>
          <rPr>
            <b/>
            <sz val="9"/>
            <color indexed="81"/>
            <rFont val="Tahoma"/>
            <charset val="1"/>
          </rPr>
          <t>Khalil Dagher:</t>
        </r>
        <r>
          <rPr>
            <sz val="9"/>
            <color indexed="81"/>
            <rFont val="Tahoma"/>
            <charset val="1"/>
          </rPr>
          <t xml:space="preserve">
derived from Winter 2016/2017</t>
        </r>
      </text>
    </comment>
    <comment ref="P16" authorId="2" shapeId="0">
      <text>
        <r>
          <rPr>
            <b/>
            <sz val="9"/>
            <color indexed="81"/>
            <rFont val="Tahoma"/>
            <family val="2"/>
          </rPr>
          <t>ghosn:</t>
        </r>
        <r>
          <rPr>
            <sz val="9"/>
            <color indexed="81"/>
            <rFont val="Tahoma"/>
            <family val="2"/>
          </rPr>
          <t xml:space="preserve">
2000 for RET
</t>
        </r>
      </text>
    </comment>
    <comment ref="O17" authorId="0" shapeId="0">
      <text>
        <r>
          <rPr>
            <b/>
            <sz val="9"/>
            <color indexed="81"/>
            <rFont val="Tahoma"/>
            <family val="2"/>
          </rPr>
          <t>Khalil Dagher:</t>
        </r>
        <r>
          <rPr>
            <sz val="9"/>
            <color indexed="81"/>
            <rFont val="Tahoma"/>
            <family val="2"/>
          </rPr>
          <t xml:space="preserve">
Includes PRS</t>
        </r>
      </text>
    </comment>
    <comment ref="C30" authorId="2" shapeId="0">
      <text>
        <r>
          <rPr>
            <b/>
            <sz val="9"/>
            <color indexed="81"/>
            <rFont val="Tahoma"/>
            <family val="2"/>
          </rPr>
          <t>ghosn:</t>
        </r>
        <r>
          <rPr>
            <sz val="9"/>
            <color indexed="81"/>
            <rFont val="Tahoma"/>
            <family val="2"/>
          </rPr>
          <t xml:space="preserve">
CRI unit cost = $ 136 (Avg cost)
Total unique Target = 35000 HHS
CP Kit unit cost 212
unicef: in kind kits for 40,000 HHS + respective log cost </t>
        </r>
      </text>
    </comment>
    <comment ref="M34" authorId="0" shapeId="0">
      <text>
        <r>
          <rPr>
            <b/>
            <sz val="9"/>
            <color indexed="81"/>
            <rFont val="Tahoma"/>
            <charset val="1"/>
          </rPr>
          <t>Khalil Dagher:</t>
        </r>
        <r>
          <rPr>
            <sz val="9"/>
            <color indexed="81"/>
            <rFont val="Tahoma"/>
            <charset val="1"/>
          </rPr>
          <t xml:space="preserve">
Minimum In kind component - only global targets with no specific geographical consideration</t>
        </r>
      </text>
    </comment>
    <comment ref="B36" authorId="1" shapeId="0">
      <text>
        <r>
          <rPr>
            <b/>
            <sz val="9"/>
            <color indexed="81"/>
            <rFont val="Tahoma"/>
            <family val="2"/>
          </rPr>
          <t>UNHCRuser:</t>
        </r>
        <r>
          <rPr>
            <sz val="9"/>
            <color indexed="81"/>
            <rFont val="Tahoma"/>
            <family val="2"/>
          </rPr>
          <t xml:space="preserve">
strategic objective 2 </t>
        </r>
      </text>
    </comment>
    <comment ref="P36" authorId="2" shapeId="0">
      <text>
        <r>
          <rPr>
            <b/>
            <sz val="9"/>
            <color indexed="81"/>
            <rFont val="Tahoma"/>
            <family val="2"/>
          </rPr>
          <t>ghosn:</t>
        </r>
        <r>
          <rPr>
            <sz val="9"/>
            <color indexed="81"/>
            <rFont val="Tahoma"/>
            <family val="2"/>
          </rPr>
          <t xml:space="preserve">
2000 for RET</t>
        </r>
      </text>
    </comment>
  </commentList>
</comments>
</file>

<file path=xl/comments3.xml><?xml version="1.0" encoding="utf-8"?>
<comments xmlns="http://schemas.openxmlformats.org/spreadsheetml/2006/main">
  <authors>
    <author>UNHCRuser</author>
    <author>ghosn</author>
    <author>Khalil Dagher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UNHCRuser:</t>
        </r>
        <r>
          <rPr>
            <sz val="9"/>
            <color indexed="81"/>
            <rFont val="Tahoma"/>
            <family val="2"/>
          </rPr>
          <t xml:space="preserve">
strategic objective 3 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UNHCRuser:</t>
        </r>
        <r>
          <rPr>
            <sz val="9"/>
            <color indexed="81"/>
            <rFont val="Tahoma"/>
            <family val="2"/>
          </rPr>
          <t xml:space="preserve">
strategic objective 3</t>
        </r>
      </text>
    </comment>
    <comment ref="C10" authorId="1" shapeId="0">
      <text>
        <r>
          <rPr>
            <b/>
            <sz val="9"/>
            <color indexed="81"/>
            <rFont val="Tahoma"/>
            <family val="2"/>
          </rPr>
          <t>Khalil Dagher:</t>
        </r>
        <r>
          <rPr>
            <sz val="9"/>
            <color indexed="81"/>
            <rFont val="Tahoma"/>
            <family val="2"/>
          </rPr>
          <t xml:space="preserve">
 8*2500 for workshops + 10,000 for development of training curriculum  +100,000 System strengthening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UNHCRuser:</t>
        </r>
        <r>
          <rPr>
            <sz val="9"/>
            <color indexed="81"/>
            <rFont val="Tahoma"/>
            <family val="2"/>
          </rPr>
          <t xml:space="preserve">
strategic objective 3 </t>
        </r>
      </text>
    </comment>
    <comment ref="L16" authorId="2" shapeId="0">
      <text>
        <r>
          <rPr>
            <b/>
            <sz val="9"/>
            <color indexed="81"/>
            <rFont val="Tahoma"/>
            <charset val="1"/>
          </rPr>
          <t>Khalil Dagher:</t>
        </r>
        <r>
          <rPr>
            <sz val="9"/>
            <color indexed="81"/>
            <rFont val="Tahoma"/>
            <charset val="1"/>
          </rPr>
          <t xml:space="preserve">
8 training workshops. 20 Participants in each. 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UNHCRuser:</t>
        </r>
        <r>
          <rPr>
            <sz val="9"/>
            <color indexed="81"/>
            <rFont val="Tahoma"/>
            <family val="2"/>
          </rPr>
          <t xml:space="preserve">
strategic objective 3 </t>
        </r>
      </text>
    </comment>
    <comment ref="C28" authorId="1" shapeId="0">
      <text>
        <r>
          <rPr>
            <b/>
            <sz val="9"/>
            <color indexed="81"/>
            <rFont val="Tahoma"/>
            <family val="2"/>
          </rPr>
          <t>Khalil Dagher</t>
        </r>
        <r>
          <rPr>
            <sz val="9"/>
            <color indexed="81"/>
            <rFont val="Tahoma"/>
            <family val="2"/>
          </rPr>
          <t xml:space="preserve">
75,000 for study + 366,000 unicef support to NPTP + 50,000 strategy design
 + 50,000 support to the development of the strategy +615,845 (support/staffing/other)</t>
        </r>
      </text>
    </comment>
    <comment ref="B34" authorId="2" shapeId="0">
      <text>
        <r>
          <rPr>
            <b/>
            <sz val="9"/>
            <color indexed="81"/>
            <rFont val="Tahoma"/>
            <charset val="1"/>
          </rPr>
          <t>Khalil Dagher:</t>
        </r>
        <r>
          <rPr>
            <sz val="9"/>
            <color indexed="81"/>
            <rFont val="Tahoma"/>
            <charset val="1"/>
          </rPr>
          <t xml:space="preserve">
Strategic Objective 3</t>
        </r>
      </text>
    </comment>
  </commentList>
</comments>
</file>

<file path=xl/sharedStrings.xml><?xml version="1.0" encoding="utf-8"?>
<sst xmlns="http://schemas.openxmlformats.org/spreadsheetml/2006/main" count="1267" uniqueCount="245">
  <si>
    <t>Frequency</t>
  </si>
  <si>
    <t>Baseline</t>
  </si>
  <si>
    <t>List below indicators used to evaluate the impact of programmes under outcome 1 i.e. measure Outcome 1</t>
  </si>
  <si>
    <t>Definition / Description</t>
  </si>
  <si>
    <t>Syrians</t>
  </si>
  <si>
    <t>Leb</t>
  </si>
  <si>
    <t>Indicator ID</t>
  </si>
  <si>
    <t>Outcome Indicators</t>
  </si>
  <si>
    <t>Output Indicator</t>
  </si>
  <si>
    <t>Budget</t>
  </si>
  <si>
    <t>Unit</t>
  </si>
  <si>
    <t>Akkar</t>
  </si>
  <si>
    <t>Baalbek-Hermel</t>
  </si>
  <si>
    <t>Beirut</t>
  </si>
  <si>
    <t>Bekaa</t>
  </si>
  <si>
    <t>Nabatiyeh</t>
  </si>
  <si>
    <t>North</t>
  </si>
  <si>
    <t>South</t>
  </si>
  <si>
    <t>A</t>
  </si>
  <si>
    <t>B</t>
  </si>
  <si>
    <t>%</t>
  </si>
  <si>
    <t>SYR</t>
  </si>
  <si>
    <t>LEB</t>
  </si>
  <si>
    <t>Mount Lebanon</t>
  </si>
  <si>
    <t>% Humanitarian</t>
  </si>
  <si>
    <t>% Stabilization</t>
  </si>
  <si>
    <t>Output Budget (USD)</t>
  </si>
  <si>
    <t>All Population</t>
  </si>
  <si>
    <t>PRL</t>
  </si>
  <si>
    <t>PRS</t>
  </si>
  <si>
    <t>Vulnerable Lebanese</t>
  </si>
  <si>
    <t>Persons Displaced from Syria</t>
  </si>
  <si>
    <t>In Need (persons)</t>
  </si>
  <si>
    <t>Means of Verification ( how to measure and who is responsible )</t>
  </si>
  <si>
    <t>Outcome</t>
  </si>
  <si>
    <t>Output</t>
  </si>
  <si>
    <t>Target 2018</t>
  </si>
  <si>
    <t>TBD 2017</t>
  </si>
  <si>
    <t>TBD 2018</t>
  </si>
  <si>
    <t>INST</t>
  </si>
  <si>
    <t>year 2017</t>
  </si>
  <si>
    <t>Institutions (List them)</t>
  </si>
  <si>
    <t xml:space="preserve">Budget </t>
  </si>
  <si>
    <t>LCRP 2017/2020 Sector Logframe template</t>
  </si>
  <si>
    <t xml:space="preserve">1. Please place each Outcome on a separate Sheet within the same workbook. </t>
  </si>
  <si>
    <t>2. Please use excel formulas to sum up the budgets and % Humanitarian/Stabilization</t>
  </si>
  <si>
    <t xml:space="preserve">3. 2017/2018 budgets and targets are mandatory </t>
  </si>
  <si>
    <t>4. For institutions, you can modify the column headings and add as many columns as necessary; 1 colum per institution. Ex: School, Municipalities, SDCs , Water establishments, central ministries, etc…</t>
  </si>
  <si>
    <t>Lead Ministry</t>
  </si>
  <si>
    <t>Coordinating Agency</t>
  </si>
  <si>
    <t>Contact Information</t>
  </si>
  <si>
    <t>6. File Name should be "LCRP_2017_SECTOR_LOGFRAME_Version</t>
  </si>
  <si>
    <t>5. Please make sure to update the document version on the summary page, Cell B1</t>
  </si>
  <si>
    <t>Target 2020</t>
  </si>
  <si>
    <t>List below indicators used to measure Output 1.1</t>
  </si>
  <si>
    <t>Means of Verification ( how to measure and who is responsible, tools used )</t>
  </si>
  <si>
    <t>List Activities under this output 1.1</t>
  </si>
  <si>
    <t>Yearly</t>
  </si>
  <si>
    <t>HH</t>
  </si>
  <si>
    <t>RAIS, ActivityInfo</t>
  </si>
  <si>
    <t>List below indicators used to measure Output 2.1</t>
  </si>
  <si>
    <t>ad-hoc/ needs based</t>
  </si>
  <si>
    <t>% (HH)</t>
  </si>
  <si>
    <t>Numberator: # of assisted reporting ability to meet their basic survival needs 
Denominator:# total assisted who have been sampled</t>
  </si>
  <si>
    <t>Quarterly</t>
  </si>
  <si>
    <t xml:space="preserve">Quarterly </t>
  </si>
  <si>
    <t># of households assisted with one off cash in case of emergency</t>
  </si>
  <si>
    <t>RAIS and Activity Info</t>
  </si>
  <si>
    <t>Ad Hoc</t>
  </si>
  <si>
    <t>List Activities under this output 2.1</t>
  </si>
  <si>
    <t xml:space="preserve">Activity 4: Prepositioning of cash cards to be distributed in case of emergency </t>
  </si>
  <si>
    <t>List below indicators used to measure Output 2.2</t>
  </si>
  <si>
    <t>List Activities under this output 2.2</t>
  </si>
  <si>
    <t># of households receiving emergency in-kind assistance</t>
  </si>
  <si>
    <t>Populations affected by seasonal hazards supported with in-kind assistance</t>
  </si>
  <si>
    <t>Populations affected by emergencies supported with in-kind assistance</t>
  </si>
  <si>
    <t>% of assisted  severely economically vulnerable households report being able to meet their basic survival needs</t>
  </si>
  <si>
    <t>List below indicators used to measure Output 3.1</t>
  </si>
  <si>
    <t>List below indicators used to evaluate the impact of programmes under outcome 1 i.e. measure Outcome 3</t>
  </si>
  <si>
    <t>MoSA / NPTP</t>
  </si>
  <si>
    <t>TBD</t>
  </si>
  <si>
    <t>List Activities under this output 3.1</t>
  </si>
  <si>
    <t xml:space="preserve">Activity Info, NPTP Reports </t>
  </si>
  <si>
    <t>quarterly</t>
  </si>
  <si>
    <t>Activity 1: conduct trainings for NPTP / MoSA staff</t>
  </si>
  <si>
    <t>Activity 2: conduct a joint study on the impact of cash</t>
  </si>
  <si>
    <t>N/A</t>
  </si>
  <si>
    <t xml:space="preserve">Increased knowledge on vulnerability assessments and targeting among NPTP social workers </t>
  </si>
  <si>
    <t>Trained social workers demonstrate increased knowledge</t>
  </si>
  <si>
    <t>C</t>
  </si>
  <si>
    <t>No</t>
  </si>
  <si>
    <t>Yes</t>
  </si>
  <si>
    <t>Persons (Staff)</t>
  </si>
  <si>
    <t>MoSA, UNHCR</t>
  </si>
  <si>
    <t>MOSA</t>
  </si>
  <si>
    <t>National Social Safety Net Strategy in place</t>
  </si>
  <si>
    <t xml:space="preserve">Strategy outlining the long-term vision of the social safety net system </t>
  </si>
  <si>
    <t>strategy</t>
  </si>
  <si>
    <t>Acrivity 3: conduct a capacity assessment of NPTP social workers and develop a capacity development plan</t>
  </si>
  <si>
    <t>Activity 4: conduct an assessmet of the social safety net system from a child and gender persepective</t>
  </si>
  <si>
    <t xml:space="preserve">Activity 5: support the development of a National Social Safety Net Strategy </t>
  </si>
  <si>
    <t>Activity 2:  Distribute of cash assisstance to households highly vulnerable to seasonal/winter shocks</t>
  </si>
  <si>
    <t>Activity 1: Identification and verification of eligible households (those hihgly vulnerable to seasonal/winter shocks)</t>
  </si>
  <si>
    <t>Activity 3: Monitoring and evaluation of cash assisstance to household highly vulnerable to seasonal/winter shocks</t>
  </si>
  <si>
    <t>Activity 5: Update the contingency plan</t>
  </si>
  <si>
    <t># of affected households receiving in-kind winter assistance</t>
  </si>
  <si>
    <t>Activity 4: Provide in-kind assistance for populations affected by emergencies</t>
  </si>
  <si>
    <t>Activity 5: Maintain core relief item contingency in-kind  stock</t>
  </si>
  <si>
    <t>Activity 1. Revise and update the desk formula for targeting</t>
  </si>
  <si>
    <t>Activity 2. Conduct household level socio-economic vulnerability profiling and monitoring</t>
  </si>
  <si>
    <t xml:space="preserve">Activity 3. Provide multi-purpose/ sector cash transfers to the most vulnerable to support their survivial needs (monthly / regular) </t>
  </si>
  <si>
    <t xml:space="preserve">Activity 6. Contingency plan developed and updated </t>
  </si>
  <si>
    <t>numberator: # of households receiving seasonal and emergency assistance who were able to meet their additional needs
denominator: # population found to be seasonally vulnerable and assisted</t>
  </si>
  <si>
    <t>% of assisted  households affected by seasonal shocks who are able to meet their additional basic survival needs</t>
  </si>
  <si>
    <t>%  newly displaced households who are provided basic assistance</t>
  </si>
  <si>
    <t>numerator: # newly displaced households assisted
denominator: # households newly displaced</t>
  </si>
  <si>
    <t xml:space="preserve">RNA, field offices to estimate newly displaced. 
ActivityInfo, RAIS, Emergency response for assistance. </t>
  </si>
  <si>
    <t xml:space="preserve">Monthly (during winter) </t>
  </si>
  <si>
    <t>Activity 7: Winter clothing kits for children</t>
  </si>
  <si>
    <r>
      <t xml:space="preserve">NPTP / </t>
    </r>
    <r>
      <rPr>
        <b/>
        <sz val="11"/>
        <rFont val="Calibri"/>
        <family val="2"/>
        <scheme val="minor"/>
      </rPr>
      <t xml:space="preserve">pre-post assessments </t>
    </r>
  </si>
  <si>
    <t>Activity 6: Development of  training curriculum for SWs/staff (Y/N)</t>
  </si>
  <si>
    <t xml:space="preserve">Impact studies and PDMs for all population cohorts. 
Rational behind Targets: Basic Assistance Sector contributes to 40% of the SMEB value through the $175 cash grant. Food contributes to 31% of SMEB. Currently 90% of cash recepients also receive food.
</t>
  </si>
  <si>
    <t># of socio-economically vulnerable households assisted</t>
  </si>
  <si>
    <t xml:space="preserve">A </t>
  </si>
  <si>
    <t>ad-hoc</t>
  </si>
  <si>
    <t>seasonaly</t>
  </si>
  <si>
    <t xml:space="preserve">PDM, outcome monitoring </t>
  </si>
  <si>
    <t xml:space="preserve"> # of vulnerable households receiving seasonal cash assistance</t>
  </si>
  <si>
    <t>Basic Assistance: Total budget (USD)</t>
  </si>
  <si>
    <t>Basic Assistance</t>
  </si>
  <si>
    <t>Population Cohorts</t>
  </si>
  <si>
    <t>Total Population</t>
  </si>
  <si>
    <t>Total Population in Need</t>
  </si>
  <si>
    <t>Total Population Targeted</t>
  </si>
  <si>
    <t># Female</t>
  </si>
  <si>
    <t>% Female*</t>
  </si>
  <si>
    <t># Male</t>
  </si>
  <si>
    <t>% Male*</t>
  </si>
  <si>
    <t># Children
 (0-17)</t>
  </si>
  <si>
    <t>% Children*</t>
  </si>
  <si>
    <t># Adolescent
 (10-17)</t>
  </si>
  <si>
    <t>% Adolescent*
 (10-17)</t>
  </si>
  <si>
    <t># Youth (18-24)</t>
  </si>
  <si>
    <t>% Youth*
 (18-24)</t>
  </si>
  <si>
    <t xml:space="preserve">Lebanese </t>
  </si>
  <si>
    <t>Displaced Syrian</t>
  </si>
  <si>
    <t>Palestine Refugee from Syria (PRS)</t>
  </si>
  <si>
    <t>Palestine Refugee in Lebanon  (PRL)</t>
  </si>
  <si>
    <t>GRAND TOTAL</t>
  </si>
  <si>
    <t xml:space="preserve">Type of institution </t>
  </si>
  <si>
    <t>Total</t>
  </si>
  <si>
    <t>Targeted</t>
  </si>
  <si>
    <t>* % of Female, Male, Children, Adolescent, Youth to be used if you do not have specific Sex Age Disaggregated Target for your sector</t>
  </si>
  <si>
    <t>Municipality</t>
  </si>
  <si>
    <t>Hospitals</t>
  </si>
  <si>
    <t>Schools</t>
  </si>
  <si>
    <t>Water establishments</t>
  </si>
  <si>
    <t>Social Development Centers</t>
  </si>
  <si>
    <t>Central Ministries</t>
  </si>
  <si>
    <t xml:space="preserve">Khalil Dagher (dagherk@unhcr.org) ; Hadi Haddad (hadi_haddad@live.com) </t>
  </si>
  <si>
    <t>D</t>
  </si>
  <si>
    <t>Children (aged 5-15)</t>
  </si>
  <si>
    <t>ActivityInfo, RAIS, Min Ila database</t>
  </si>
  <si>
    <t>children (aged 0-14 years)</t>
  </si>
  <si>
    <t>Version V.2 Prefinal</t>
  </si>
  <si>
    <t># of vulnerable children (aged 0-14 years) receiving one-off cash seasonal assistance</t>
  </si>
  <si>
    <t>Activity 6: Distribution of one-off cash transfer to children (aged 0-14)</t>
  </si>
  <si>
    <t>NPTP</t>
  </si>
  <si>
    <t>National Social Safety Net Strategy ednorsed</t>
  </si>
  <si>
    <t>Activity 4. Present research and increase learning opportunities on multi purpose/sector cash programming (debt, impact of cash, assistance packages, etc...)</t>
  </si>
  <si>
    <t>Activity 5. Registration, distribution and monitoring of the unconditional cash transfer to socio-economically vulnerable children (aged 5-15 years) to decrease economically driven negative coping mechansims</t>
  </si>
  <si>
    <t>Activity 2:  Distribution of in-kind assisstance to households highly vulnerable to seasonal/winter shocks</t>
  </si>
  <si>
    <t>Activity 3: Monitoring and evaluation of  and in-kind assisstance to household highly vulnerable to seasonal/winter shocks</t>
  </si>
  <si>
    <t xml:space="preserve">% reduction in population that is severly vulnerbale </t>
  </si>
  <si>
    <t xml:space="preserve">Economic vulnerability
population can meet their basic survival needs/spend above the minimum survival expenditure basket. </t>
  </si>
  <si>
    <t>Target 2019</t>
  </si>
  <si>
    <t>year 2018</t>
  </si>
  <si>
    <t>Targets 2018</t>
  </si>
  <si>
    <t xml:space="preserve">Targets 2019 </t>
  </si>
  <si>
    <t xml:space="preserve">% of severely economically vulnerable households receiving  cash assistance </t>
  </si>
  <si>
    <t>Numerator: SV HHs receiving Assistance
Denominator: SV HHs identified by the DF</t>
  </si>
  <si>
    <t>TBD 2019</t>
  </si>
  <si>
    <t>Targeted 2018</t>
  </si>
  <si>
    <t>Indicative Target 2019</t>
  </si>
  <si>
    <t>TBD in 2019</t>
  </si>
  <si>
    <t xml:space="preserve"> # of vulnerable households receiving seasonal cash assistance
Syr: desk formula
Vulnerable Lebanese: NPTP criteria
PRS: blanket approach ; PRL: Selected # of HHs living at high elevations
Leb Ret IOM vulnerbaility criteria</t>
  </si>
  <si>
    <t>ActivityInfo, RAIS (incl. UNICEF 40$), UNRWA, NPTP,
(Economic vulnerability and exposure to cold) 
Vulnerable Lebanese: NPTP criteria
PRS: UNRWA vulnerability criteria (Blanket Approach)
PRL: safety nets cases above 500m
Leb Ret IOM vulnerbaility criteria</t>
  </si>
  <si>
    <t xml:space="preserve">Monthly (during winter - Nov - March) </t>
  </si>
  <si>
    <t xml:space="preserve">Targets per governorate (Mandatory at output level) </t>
  </si>
  <si>
    <t>One Off</t>
  </si>
  <si>
    <t>Targets 2019</t>
  </si>
  <si>
    <t>List below indicators used to measure Output 3.2</t>
  </si>
  <si>
    <t>List Activities under this output 3.2</t>
  </si>
  <si>
    <t>Acrivity 2: conduct a capacity assessment of NPTP social workers and develop a capacity development plan</t>
  </si>
  <si>
    <t>Activity 1: conduct a joint study on the impact of cash / transfer modalities / safety net approaches (specific theme TBD)</t>
  </si>
  <si>
    <t># of staff trained on conducting vulnerability assessments / targeting / and cash based internvetions</t>
  </si>
  <si>
    <t xml:space="preserve">capacity building trainings based on areas of interest identified </t>
  </si>
  <si>
    <t>Targets per governorate (Mandatory at output level)</t>
  </si>
  <si>
    <t xml:space="preserve">Social assistance system enhanced  </t>
  </si>
  <si>
    <t>enhancement of the business model of NPTP</t>
  </si>
  <si>
    <t>System</t>
  </si>
  <si>
    <t># of socio-economically vulnerable (aged 5-15 years) receiving an unconditional cash transfer during scholastic year</t>
  </si>
  <si>
    <t>Social Safety Net programme infomred by best practices of cash transfers in humanitarian settings implemented through existing national systems and aligned to NPTP strategy;</t>
  </si>
  <si>
    <r>
      <t xml:space="preserve">Economic vulnerability measured based on declared expenditure through a representative sample. i.e. if total expenditure is below the survival minimum expenditure basket then household is severly economically vulnerable. 
</t>
    </r>
    <r>
      <rPr>
        <b/>
        <sz val="11"/>
        <rFont val="Calibri"/>
        <family val="2"/>
        <scheme val="minor"/>
      </rPr>
      <t>Assessments</t>
    </r>
    <r>
      <rPr>
        <sz val="11"/>
        <rFont val="Calibri"/>
        <family val="2"/>
        <scheme val="minor"/>
      </rPr>
      <t xml:space="preserve">
Syrians: VASYR
</t>
    </r>
    <r>
      <rPr>
        <sz val="11"/>
        <color theme="1"/>
        <rFont val="Calibri"/>
        <family val="2"/>
        <scheme val="minor"/>
      </rPr>
      <t>Lebanese : Existing offical poverty figures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Palestinians: UNRWA vulnerability assessment
Indicative figues taken from VASYR; actual impact is measured through Outcome Monitoring</t>
    </r>
  </si>
  <si>
    <t># of socio-economically vulnerbale HHs assisted
Baseline: 2017</t>
  </si>
  <si>
    <t xml:space="preserve">Yes </t>
  </si>
  <si>
    <t>160 Staff</t>
  </si>
  <si>
    <t xml:space="preserve">Outcome 1: Strengthen the ability of vulnerable HHs, including female-headed, to meet their basic survival needs </t>
  </si>
  <si>
    <t>OUTPUT 1.1: Multipurpose cash assistance grants to the most socio-economically vulnerable households provided</t>
  </si>
  <si>
    <t>Outcome 2: Strengthen the ability of populations affected by seasonal hazards and emergencies to secure additional basic survival needs</t>
  </si>
  <si>
    <t>OUTPUT 2.1: Cash grants in support of populations affected by seasonal hazards and emergencies provided</t>
  </si>
  <si>
    <t>OUTPUT 2.2: In-kind assistance in support of populations affected by seasonal hazards and emergencies provided</t>
  </si>
  <si>
    <t>OUTPUT 3.1: Capacity of NPTP to provide social assistance enhanced</t>
  </si>
  <si>
    <t>OUTPUT 3.2: National Social Safety Net Strategy Developed</t>
  </si>
  <si>
    <r>
      <rPr>
        <b/>
        <sz val="18"/>
        <rFont val="Calibri"/>
        <family val="2"/>
        <scheme val="minor"/>
      </rPr>
      <t>OUTPUT 1.1:</t>
    </r>
    <r>
      <rPr>
        <b/>
        <sz val="18"/>
        <color theme="8"/>
        <rFont val="Calibri"/>
        <family val="2"/>
        <scheme val="minor"/>
      </rPr>
      <t xml:space="preserve"> Multipurpose cash assistance grants to the most socio-economically vulnerable households provided</t>
    </r>
  </si>
  <si>
    <r>
      <rPr>
        <b/>
        <sz val="20"/>
        <rFont val="Calibri"/>
        <family val="2"/>
        <scheme val="minor"/>
      </rPr>
      <t>OUTCOME 2:</t>
    </r>
    <r>
      <rPr>
        <b/>
        <sz val="18"/>
        <color theme="8"/>
        <rFont val="Calibri"/>
        <family val="2"/>
        <scheme val="minor"/>
      </rPr>
      <t xml:space="preserve"> Strengthen the ability of populations affected by seasonal hazards and emergencies to secure additional basic survival needs</t>
    </r>
  </si>
  <si>
    <r>
      <rPr>
        <b/>
        <sz val="18"/>
        <rFont val="Calibri"/>
        <family val="2"/>
        <scheme val="minor"/>
      </rPr>
      <t>OUTPUT 2.1:</t>
    </r>
    <r>
      <rPr>
        <b/>
        <sz val="18"/>
        <color theme="8"/>
        <rFont val="Calibri"/>
        <family val="2"/>
        <scheme val="minor"/>
      </rPr>
      <t xml:space="preserve"> Cash grants in support of populations affected by seasonal hazards and emergencies provided</t>
    </r>
  </si>
  <si>
    <r>
      <rPr>
        <b/>
        <sz val="18"/>
        <rFont val="Calibri"/>
        <family val="2"/>
        <scheme val="minor"/>
      </rPr>
      <t>OUTPUT 2.2:</t>
    </r>
    <r>
      <rPr>
        <b/>
        <sz val="18"/>
        <color theme="8"/>
        <rFont val="Calibri"/>
        <family val="2"/>
        <scheme val="minor"/>
      </rPr>
      <t xml:space="preserve"> In-kind assistance in support of populations affected by seasonal hazards and emergencies provided</t>
    </r>
  </si>
  <si>
    <r>
      <rPr>
        <b/>
        <sz val="20"/>
        <rFont val="Calibri"/>
        <family val="2"/>
        <scheme val="minor"/>
      </rPr>
      <t>OUTCOME 3:</t>
    </r>
    <r>
      <rPr>
        <b/>
        <sz val="18"/>
        <color theme="8"/>
        <rFont val="Calibri"/>
        <family val="2"/>
        <scheme val="minor"/>
      </rPr>
      <t xml:space="preserve"> Support the National Poverty Targeting Programme (NPTP) </t>
    </r>
  </si>
  <si>
    <t xml:space="preserve">Outcome 3: Support the National Poverty Targeting Programme (NPTP) </t>
  </si>
  <si>
    <r>
      <rPr>
        <b/>
        <sz val="18"/>
        <rFont val="Calibri"/>
        <family val="2"/>
        <scheme val="minor"/>
      </rPr>
      <t>OUTPUT 3.1:</t>
    </r>
    <r>
      <rPr>
        <b/>
        <sz val="18"/>
        <color theme="8"/>
        <rFont val="Calibri"/>
        <family val="2"/>
        <scheme val="minor"/>
      </rPr>
      <t xml:space="preserve">  Capacity of NPTP to provide social assistance enhanced</t>
    </r>
  </si>
  <si>
    <r>
      <rPr>
        <b/>
        <sz val="18"/>
        <rFont val="Calibri"/>
        <family val="2"/>
        <scheme val="minor"/>
      </rPr>
      <t>OUTPUT 3.2:</t>
    </r>
    <r>
      <rPr>
        <b/>
        <sz val="18"/>
        <color theme="8"/>
        <rFont val="Calibri"/>
        <family val="2"/>
        <scheme val="minor"/>
      </rPr>
      <t xml:space="preserve">  National Social Safety Net Strategy Developed</t>
    </r>
  </si>
  <si>
    <t>The number of  children (aged 5-15 years) receiving an unconditional cash transfer during the 2017-2018 school year and the 2018-2019 school year</t>
  </si>
  <si>
    <t># of socio-economically vulnerable (aged 12-15 years) receiving an unconditional cash transfer top-up amount during scholastic year</t>
  </si>
  <si>
    <t>The number of  children (aged 12-15) years) receiving an unconditional cash transfer during the 2017-2018 school year and the 2018-2019 school year</t>
  </si>
  <si>
    <t>Children (aged 12-15</t>
  </si>
  <si>
    <t xml:space="preserve"># of vulnerable children (aged 0-14 years) receiving one-off seasonal in-kind assistance </t>
  </si>
  <si>
    <t>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</si>
  <si>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</si>
  <si>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</si>
  <si>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</si>
  <si>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</si>
  <si>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</si>
  <si>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</si>
  <si>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</si>
  <si>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</si>
  <si>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</si>
  <si>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</si>
  <si>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</si>
  <si>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</si>
  <si>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Syr</t>
  </si>
  <si>
    <t>Pal</t>
  </si>
  <si>
    <t>USD</t>
  </si>
  <si>
    <t>Assistance per HH</t>
  </si>
  <si>
    <t>Mulit-purpose Cash Assistance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</si>
</sst>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8"/>
      <color theme="8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8"/>
      <color theme="8"/>
      <name val="Calibri"/>
      <family val="2"/>
      <scheme val="minor"/>
    </font>
    <font>
      <sz val="10"/>
      <name val="Calibri Light"/>
      <family val="2"/>
      <scheme val="major"/>
    </font>
    <font>
      <sz val="14"/>
      <color theme="0"/>
      <name val="Calibri Light"/>
      <family val="2"/>
      <scheme val="maj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6"/>
      <name val="Calibri Light"/>
      <family val="2"/>
      <scheme val="major"/>
    </font>
    <font>
      <sz val="11"/>
      <name val="Calibri"/>
      <family val="2"/>
      <scheme val="minor"/>
    </font>
    <font>
      <sz val="14"/>
      <name val="Calibri Light"/>
      <family val="2"/>
      <scheme val="major"/>
    </font>
    <font>
      <b/>
      <sz val="22"/>
      <color theme="1"/>
      <name val="Calibri"/>
      <family val="2"/>
      <scheme val="minor"/>
    </font>
    <font>
      <sz val="16"/>
      <name val="Calibri Light"/>
      <family val="2"/>
      <scheme val="major"/>
    </font>
    <font>
      <b/>
      <sz val="1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Book Antiqua"/>
      <family val="1"/>
    </font>
    <font>
      <sz val="10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  <scheme val="minor"/>
    </font>
    <font>
      <b/>
      <sz val="11"/>
      <color theme="1"/>
      <name val="Cambria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theme="4"/>
      </patternFill>
    </fill>
    <fill>
      <patternFill patternType="solid">
        <fgColor theme="9" tint="0.59999389629810485"/>
        <bgColor theme="4"/>
      </patternFill>
    </fill>
    <fill>
      <patternFill patternType="solid">
        <fgColor theme="5" tint="0.79998168889431442"/>
        <bgColor theme="4"/>
      </patternFill>
    </fill>
    <fill>
      <patternFill patternType="solid">
        <fgColor theme="4" tint="0.59999389629810485"/>
        <bgColor theme="4"/>
      </patternFill>
    </fill>
    <fill>
      <patternFill patternType="solid">
        <fgColor theme="9" tint="0.39997558519241921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FBFBF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auto="1"/>
      </bottom>
      <diagonal/>
    </border>
    <border>
      <left/>
      <right style="thick">
        <color theme="0"/>
      </right>
      <top style="thin">
        <color auto="1"/>
      </top>
      <bottom style="thin">
        <color theme="0" tint="-0.34998626667073579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ck">
        <color theme="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theme="0"/>
      </right>
      <top/>
      <bottom style="thin">
        <color auto="1"/>
      </bottom>
      <diagonal/>
    </border>
    <border>
      <left style="thin">
        <color auto="1"/>
      </left>
      <right style="thick">
        <color theme="0"/>
      </right>
      <top style="thin">
        <color auto="1"/>
      </top>
      <bottom style="thin">
        <color auto="1"/>
      </bottom>
      <diagonal/>
    </border>
    <border>
      <left style="thick">
        <color theme="0"/>
      </left>
      <right/>
      <top style="thin">
        <color auto="1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theme="0"/>
      </left>
      <right style="thin">
        <color auto="1"/>
      </right>
      <top/>
      <bottom style="thin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theme="0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ck">
        <color theme="0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ck">
        <color theme="0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80">
    <xf numFmtId="0" fontId="0" fillId="0" borderId="0" xfId="0"/>
    <xf numFmtId="0" fontId="0" fillId="0" borderId="0" xfId="0" applyAlignment="1">
      <alignment wrapText="1"/>
    </xf>
    <xf numFmtId="0" fontId="8" fillId="0" borderId="2" xfId="2" applyFont="1" applyBorder="1" applyAlignment="1">
      <alignment horizontal="left" vertical="center"/>
    </xf>
    <xf numFmtId="0" fontId="0" fillId="0" borderId="2" xfId="0" applyBorder="1"/>
    <xf numFmtId="0" fontId="8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wrapText="1"/>
    </xf>
    <xf numFmtId="165" fontId="9" fillId="0" borderId="0" xfId="3" applyNumberFormat="1" applyFont="1" applyFill="1" applyBorder="1" applyAlignment="1">
      <alignment vertical="center"/>
    </xf>
    <xf numFmtId="0" fontId="16" fillId="0" borderId="6" xfId="0" applyFont="1" applyFill="1" applyBorder="1" applyAlignment="1">
      <alignment vertical="top" wrapText="1"/>
    </xf>
    <xf numFmtId="0" fontId="16" fillId="2" borderId="6" xfId="0" applyFont="1" applyFill="1" applyBorder="1" applyAlignment="1">
      <alignment vertical="top" wrapText="1"/>
    </xf>
    <xf numFmtId="0" fontId="16" fillId="2" borderId="1" xfId="0" applyFont="1" applyFill="1" applyBorder="1" applyAlignment="1">
      <alignment vertical="top" wrapText="1"/>
    </xf>
    <xf numFmtId="0" fontId="0" fillId="0" borderId="0" xfId="0" applyFill="1" applyAlignment="1">
      <alignment wrapText="1"/>
    </xf>
    <xf numFmtId="0" fontId="8" fillId="0" borderId="0" xfId="2" applyFont="1" applyBorder="1" applyAlignment="1">
      <alignment horizontal="right" vertical="center"/>
    </xf>
    <xf numFmtId="0" fontId="8" fillId="0" borderId="0" xfId="2" applyFont="1" applyBorder="1" applyAlignment="1">
      <alignment horizontal="left" vertical="center"/>
    </xf>
    <xf numFmtId="0" fontId="18" fillId="0" borderId="0" xfId="0" applyFont="1" applyAlignment="1">
      <alignment wrapText="1"/>
    </xf>
    <xf numFmtId="0" fontId="19" fillId="0" borderId="0" xfId="2" applyFont="1" applyBorder="1" applyAlignment="1">
      <alignment vertical="center"/>
    </xf>
    <xf numFmtId="0" fontId="0" fillId="0" borderId="0" xfId="0" applyFont="1" applyAlignment="1">
      <alignment wrapText="1"/>
    </xf>
    <xf numFmtId="0" fontId="15" fillId="5" borderId="0" xfId="2" applyFont="1" applyFill="1" applyBorder="1" applyAlignment="1">
      <alignment vertical="center"/>
    </xf>
    <xf numFmtId="0" fontId="20" fillId="5" borderId="5" xfId="2" applyFont="1" applyFill="1" applyBorder="1" applyAlignment="1">
      <alignment vertical="center"/>
    </xf>
    <xf numFmtId="0" fontId="20" fillId="5" borderId="9" xfId="2" applyFont="1" applyFill="1" applyBorder="1" applyAlignment="1">
      <alignment vertical="center"/>
    </xf>
    <xf numFmtId="0" fontId="8" fillId="8" borderId="0" xfId="2" applyFont="1" applyFill="1" applyBorder="1" applyAlignment="1">
      <alignment horizontal="right" vertical="center"/>
    </xf>
    <xf numFmtId="0" fontId="8" fillId="8" borderId="9" xfId="2" applyFont="1" applyFill="1" applyBorder="1" applyAlignment="1">
      <alignment horizontal="right" vertical="center" wrapText="1"/>
    </xf>
    <xf numFmtId="0" fontId="0" fillId="8" borderId="0" xfId="0" applyFill="1" applyBorder="1"/>
    <xf numFmtId="0" fontId="8" fillId="8" borderId="0" xfId="2" applyFont="1" applyFill="1" applyBorder="1" applyAlignment="1">
      <alignment horizontal="right" vertical="center" wrapText="1"/>
    </xf>
    <xf numFmtId="165" fontId="8" fillId="8" borderId="0" xfId="3" applyNumberFormat="1" applyFont="1" applyFill="1" applyBorder="1" applyAlignment="1">
      <alignment vertical="center"/>
    </xf>
    <xf numFmtId="165" fontId="13" fillId="8" borderId="11" xfId="3" applyNumberFormat="1" applyFont="1" applyFill="1" applyBorder="1" applyAlignment="1">
      <alignment vertical="center"/>
    </xf>
    <xf numFmtId="3" fontId="0" fillId="12" borderId="9" xfId="0" applyNumberFormat="1" applyFill="1" applyBorder="1"/>
    <xf numFmtId="9" fontId="0" fillId="12" borderId="9" xfId="0" applyNumberFormat="1" applyFill="1" applyBorder="1"/>
    <xf numFmtId="9" fontId="0" fillId="12" borderId="9" xfId="1" applyFont="1" applyFill="1" applyBorder="1"/>
    <xf numFmtId="9" fontId="0" fillId="10" borderId="9" xfId="0" applyNumberFormat="1" applyFill="1" applyBorder="1"/>
    <xf numFmtId="0" fontId="1" fillId="5" borderId="5" xfId="0" applyFont="1" applyFill="1" applyBorder="1" applyAlignment="1">
      <alignment horizontal="right"/>
    </xf>
    <xf numFmtId="0" fontId="4" fillId="13" borderId="10" xfId="0" applyFont="1" applyFill="1" applyBorder="1" applyAlignment="1">
      <alignment horizontal="center" vertical="top"/>
    </xf>
    <xf numFmtId="0" fontId="4" fillId="14" borderId="10" xfId="0" applyFont="1" applyFill="1" applyBorder="1" applyAlignment="1">
      <alignment horizontal="center" vertical="top"/>
    </xf>
    <xf numFmtId="0" fontId="4" fillId="14" borderId="10" xfId="0" applyFont="1" applyFill="1" applyBorder="1" applyAlignment="1">
      <alignment horizontal="center" vertical="top" wrapText="1"/>
    </xf>
    <xf numFmtId="0" fontId="16" fillId="12" borderId="6" xfId="0" applyFont="1" applyFill="1" applyBorder="1" applyAlignment="1">
      <alignment vertical="top" wrapText="1"/>
    </xf>
    <xf numFmtId="0" fontId="16" fillId="11" borderId="6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 wrapText="1"/>
    </xf>
    <xf numFmtId="3" fontId="16" fillId="12" borderId="1" xfId="0" applyNumberFormat="1" applyFont="1" applyFill="1" applyBorder="1" applyAlignment="1">
      <alignment vertical="top" wrapText="1"/>
    </xf>
    <xf numFmtId="3" fontId="16" fillId="11" borderId="1" xfId="0" applyNumberFormat="1" applyFont="1" applyFill="1" applyBorder="1" applyAlignment="1">
      <alignment vertical="top" wrapText="1"/>
    </xf>
    <xf numFmtId="0" fontId="4" fillId="16" borderId="10" xfId="0" applyFont="1" applyFill="1" applyBorder="1" applyAlignment="1">
      <alignment horizontal="center" vertical="top"/>
    </xf>
    <xf numFmtId="3" fontId="16" fillId="10" borderId="1" xfId="0" applyNumberFormat="1" applyFont="1" applyFill="1" applyBorder="1" applyAlignment="1">
      <alignment vertical="top" wrapText="1"/>
    </xf>
    <xf numFmtId="0" fontId="16" fillId="10" borderId="6" xfId="0" applyFont="1" applyFill="1" applyBorder="1" applyAlignment="1">
      <alignment vertical="top" wrapText="1"/>
    </xf>
    <xf numFmtId="0" fontId="4" fillId="9" borderId="10" xfId="0" applyFont="1" applyFill="1" applyBorder="1" applyAlignment="1">
      <alignment horizontal="center" vertical="top"/>
    </xf>
    <xf numFmtId="0" fontId="16" fillId="3" borderId="6" xfId="0" applyFont="1" applyFill="1" applyBorder="1" applyAlignment="1">
      <alignment vertical="top" wrapText="1"/>
    </xf>
    <xf numFmtId="3" fontId="16" fillId="3" borderId="1" xfId="0" applyNumberFormat="1" applyFont="1" applyFill="1" applyBorder="1" applyAlignment="1">
      <alignment vertical="top" wrapText="1"/>
    </xf>
    <xf numFmtId="0" fontId="4" fillId="16" borderId="10" xfId="0" applyFont="1" applyFill="1" applyBorder="1" applyAlignment="1">
      <alignment horizontal="center" vertical="top" wrapText="1"/>
    </xf>
    <xf numFmtId="0" fontId="4" fillId="14" borderId="10" xfId="0" applyFont="1" applyFill="1" applyBorder="1" applyAlignment="1">
      <alignment horizontal="center" vertical="center"/>
    </xf>
    <xf numFmtId="3" fontId="0" fillId="12" borderId="1" xfId="0" applyNumberFormat="1" applyFont="1" applyFill="1" applyBorder="1" applyAlignment="1">
      <alignment vertical="center" wrapText="1"/>
    </xf>
    <xf numFmtId="0" fontId="11" fillId="5" borderId="9" xfId="0" applyFont="1" applyFill="1" applyBorder="1" applyAlignment="1"/>
    <xf numFmtId="0" fontId="0" fillId="0" borderId="0" xfId="0" applyBorder="1" applyAlignment="1">
      <alignment horizontal="center" wrapText="1"/>
    </xf>
    <xf numFmtId="0" fontId="14" fillId="8" borderId="11" xfId="2" applyFont="1" applyFill="1" applyBorder="1" applyAlignment="1">
      <alignment vertical="center"/>
    </xf>
    <xf numFmtId="0" fontId="0" fillId="0" borderId="0" xfId="0" applyBorder="1"/>
    <xf numFmtId="3" fontId="0" fillId="10" borderId="9" xfId="0" applyNumberFormat="1" applyFill="1" applyBorder="1"/>
    <xf numFmtId="0" fontId="1" fillId="5" borderId="15" xfId="0" applyFont="1" applyFill="1" applyBorder="1" applyAlignment="1">
      <alignment horizontal="right"/>
    </xf>
    <xf numFmtId="9" fontId="0" fillId="12" borderId="16" xfId="0" applyNumberFormat="1" applyFill="1" applyBorder="1"/>
    <xf numFmtId="0" fontId="14" fillId="12" borderId="15" xfId="2" applyFont="1" applyFill="1" applyBorder="1" applyAlignment="1">
      <alignment horizontal="right" vertical="center"/>
    </xf>
    <xf numFmtId="165" fontId="17" fillId="12" borderId="14" xfId="3" applyNumberFormat="1" applyFont="1" applyFill="1" applyBorder="1" applyAlignment="1">
      <alignment vertical="center"/>
    </xf>
    <xf numFmtId="0" fontId="14" fillId="10" borderId="18" xfId="2" applyFont="1" applyFill="1" applyBorder="1" applyAlignment="1">
      <alignment horizontal="right" vertical="center"/>
    </xf>
    <xf numFmtId="0" fontId="14" fillId="3" borderId="18" xfId="2" applyFont="1" applyFill="1" applyBorder="1" applyAlignment="1">
      <alignment horizontal="right" vertical="center"/>
    </xf>
    <xf numFmtId="0" fontId="21" fillId="3" borderId="17" xfId="0" applyFont="1" applyFill="1" applyBorder="1" applyAlignment="1">
      <alignment horizontal="right"/>
    </xf>
    <xf numFmtId="165" fontId="14" fillId="12" borderId="15" xfId="3" applyNumberFormat="1" applyFont="1" applyFill="1" applyBorder="1" applyAlignment="1">
      <alignment horizontal="right" vertical="center"/>
    </xf>
    <xf numFmtId="165" fontId="13" fillId="12" borderId="19" xfId="3" applyNumberFormat="1" applyFont="1" applyFill="1" applyBorder="1" applyAlignment="1">
      <alignment vertical="center"/>
    </xf>
    <xf numFmtId="165" fontId="8" fillId="12" borderId="14" xfId="3" applyNumberFormat="1" applyFont="1" applyFill="1" applyBorder="1" applyAlignment="1">
      <alignment vertical="center"/>
    </xf>
    <xf numFmtId="165" fontId="14" fillId="10" borderId="18" xfId="3" quotePrefix="1" applyNumberFormat="1" applyFont="1" applyFill="1" applyBorder="1" applyAlignment="1">
      <alignment horizontal="right" vertical="center" wrapText="1"/>
    </xf>
    <xf numFmtId="165" fontId="13" fillId="10" borderId="20" xfId="3" applyNumberFormat="1" applyFont="1" applyFill="1" applyBorder="1" applyAlignment="1">
      <alignment vertical="center"/>
    </xf>
    <xf numFmtId="165" fontId="0" fillId="10" borderId="17" xfId="5" applyNumberFormat="1" applyFont="1" applyFill="1" applyBorder="1"/>
    <xf numFmtId="165" fontId="13" fillId="10" borderId="20" xfId="3" applyNumberFormat="1" applyFont="1" applyFill="1" applyBorder="1" applyAlignment="1">
      <alignment horizontal="right" vertical="center"/>
    </xf>
    <xf numFmtId="0" fontId="4" fillId="14" borderId="21" xfId="0" applyFont="1" applyFill="1" applyBorder="1" applyAlignment="1">
      <alignment horizontal="center" vertical="center"/>
    </xf>
    <xf numFmtId="0" fontId="0" fillId="11" borderId="22" xfId="0" applyFont="1" applyFill="1" applyBorder="1" applyAlignment="1">
      <alignment vertical="center" wrapText="1"/>
    </xf>
    <xf numFmtId="3" fontId="0" fillId="12" borderId="23" xfId="0" applyNumberFormat="1" applyFont="1" applyFill="1" applyBorder="1" applyAlignment="1">
      <alignment vertical="center" wrapText="1"/>
    </xf>
    <xf numFmtId="0" fontId="4" fillId="14" borderId="25" xfId="0" applyFont="1" applyFill="1" applyBorder="1" applyAlignment="1">
      <alignment horizontal="center" vertical="center"/>
    </xf>
    <xf numFmtId="3" fontId="0" fillId="12" borderId="27" xfId="0" applyNumberFormat="1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5" fillId="0" borderId="0" xfId="0" applyFont="1" applyFill="1" applyBorder="1" applyAlignment="1">
      <alignment horizontal="left" wrapText="1"/>
    </xf>
    <xf numFmtId="0" fontId="4" fillId="4" borderId="12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vertical="top" wrapText="1"/>
    </xf>
    <xf numFmtId="0" fontId="16" fillId="2" borderId="4" xfId="0" applyFont="1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7" fillId="8" borderId="0" xfId="0" applyFont="1" applyFill="1" applyBorder="1" applyAlignment="1">
      <alignment wrapText="1"/>
    </xf>
    <xf numFmtId="0" fontId="0" fillId="8" borderId="0" xfId="0" applyFill="1" applyBorder="1" applyAlignment="1">
      <alignment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wrapText="1"/>
    </xf>
    <xf numFmtId="0" fontId="22" fillId="0" borderId="0" xfId="0" applyFont="1" applyBorder="1" applyAlignment="1"/>
    <xf numFmtId="0" fontId="4" fillId="4" borderId="13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vertical="top" wrapText="1"/>
    </xf>
    <xf numFmtId="0" fontId="16" fillId="2" borderId="3" xfId="0" applyFont="1" applyFill="1" applyBorder="1" applyAlignment="1">
      <alignment vertical="top" wrapText="1"/>
    </xf>
    <xf numFmtId="0" fontId="4" fillId="6" borderId="12" xfId="0" applyFont="1" applyFill="1" applyBorder="1" applyAlignment="1">
      <alignment horizontal="center" vertical="top" wrapText="1"/>
    </xf>
    <xf numFmtId="0" fontId="4" fillId="16" borderId="21" xfId="0" applyFont="1" applyFill="1" applyBorder="1" applyAlignment="1">
      <alignment horizontal="center" vertical="top" wrapText="1"/>
    </xf>
    <xf numFmtId="0" fontId="4" fillId="6" borderId="25" xfId="0" applyFont="1" applyFill="1" applyBorder="1" applyAlignment="1">
      <alignment horizontal="center" vertical="top" wrapText="1"/>
    </xf>
    <xf numFmtId="0" fontId="25" fillId="15" borderId="12" xfId="0" applyFont="1" applyFill="1" applyBorder="1" applyAlignment="1">
      <alignment horizontal="right" vertical="top"/>
    </xf>
    <xf numFmtId="0" fontId="25" fillId="14" borderId="10" xfId="0" applyFont="1" applyFill="1" applyBorder="1" applyAlignment="1">
      <alignment horizontal="right" vertical="top"/>
    </xf>
    <xf numFmtId="0" fontId="25" fillId="16" borderId="10" xfId="0" applyFont="1" applyFill="1" applyBorder="1" applyAlignment="1">
      <alignment horizontal="right" vertical="top" wrapText="1"/>
    </xf>
    <xf numFmtId="0" fontId="25" fillId="9" borderId="10" xfId="0" applyFont="1" applyFill="1" applyBorder="1" applyAlignment="1">
      <alignment horizontal="right" vertical="top" wrapText="1"/>
    </xf>
    <xf numFmtId="3" fontId="26" fillId="2" borderId="7" xfId="0" applyNumberFormat="1" applyFont="1" applyFill="1" applyBorder="1" applyAlignment="1">
      <alignment horizontal="right" wrapText="1"/>
    </xf>
    <xf numFmtId="3" fontId="26" fillId="12" borderId="6" xfId="0" applyNumberFormat="1" applyFont="1" applyFill="1" applyBorder="1" applyAlignment="1">
      <alignment horizontal="right" wrapText="1"/>
    </xf>
    <xf numFmtId="3" fontId="26" fillId="10" borderId="6" xfId="0" applyNumberFormat="1" applyFont="1" applyFill="1" applyBorder="1" applyAlignment="1">
      <alignment horizontal="right" wrapText="1"/>
    </xf>
    <xf numFmtId="3" fontId="26" fillId="3" borderId="6" xfId="0" applyNumberFormat="1" applyFont="1" applyFill="1" applyBorder="1" applyAlignment="1">
      <alignment horizontal="right" wrapText="1"/>
    </xf>
    <xf numFmtId="9" fontId="26" fillId="2" borderId="4" xfId="1" applyFont="1" applyFill="1" applyBorder="1" applyAlignment="1">
      <alignment horizontal="right" wrapText="1"/>
    </xf>
    <xf numFmtId="9" fontId="26" fillId="12" borderId="1" xfId="1" applyFont="1" applyFill="1" applyBorder="1" applyAlignment="1">
      <alignment horizontal="right" wrapText="1"/>
    </xf>
    <xf numFmtId="9" fontId="26" fillId="10" borderId="1" xfId="1" applyFont="1" applyFill="1" applyBorder="1" applyAlignment="1">
      <alignment horizontal="right" wrapText="1"/>
    </xf>
    <xf numFmtId="3" fontId="26" fillId="3" borderId="1" xfId="0" applyNumberFormat="1" applyFont="1" applyFill="1" applyBorder="1" applyAlignment="1">
      <alignment horizontal="right" wrapText="1"/>
    </xf>
    <xf numFmtId="0" fontId="22" fillId="0" borderId="0" xfId="0" applyFont="1" applyFill="1" applyBorder="1" applyAlignment="1"/>
    <xf numFmtId="0" fontId="0" fillId="0" borderId="0" xfId="0" applyFill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center" wrapText="1"/>
    </xf>
    <xf numFmtId="3" fontId="0" fillId="0" borderId="0" xfId="0" applyNumberFormat="1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 wrapText="1"/>
    </xf>
    <xf numFmtId="0" fontId="4" fillId="4" borderId="13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wrapText="1"/>
    </xf>
    <xf numFmtId="0" fontId="11" fillId="5" borderId="9" xfId="0" applyFont="1" applyFill="1" applyBorder="1" applyAlignment="1"/>
    <xf numFmtId="9" fontId="16" fillId="12" borderId="1" xfId="1" applyFont="1" applyFill="1" applyBorder="1" applyAlignment="1">
      <alignment horizontal="right" vertical="top" wrapText="1"/>
    </xf>
    <xf numFmtId="3" fontId="16" fillId="11" borderId="1" xfId="0" applyNumberFormat="1" applyFont="1" applyFill="1" applyBorder="1" applyAlignment="1">
      <alignment horizontal="right" vertical="top" wrapText="1"/>
    </xf>
    <xf numFmtId="3" fontId="16" fillId="12" borderId="1" xfId="0" applyNumberFormat="1" applyFont="1" applyFill="1" applyBorder="1" applyAlignment="1">
      <alignment horizontal="right" vertical="top" wrapText="1"/>
    </xf>
    <xf numFmtId="9" fontId="16" fillId="10" borderId="1" xfId="1" applyFont="1" applyFill="1" applyBorder="1" applyAlignment="1">
      <alignment horizontal="right" vertical="top" wrapText="1"/>
    </xf>
    <xf numFmtId="3" fontId="16" fillId="3" borderId="1" xfId="0" applyNumberFormat="1" applyFont="1" applyFill="1" applyBorder="1" applyAlignment="1">
      <alignment horizontal="right" vertical="top" wrapText="1"/>
    </xf>
    <xf numFmtId="3" fontId="16" fillId="10" borderId="1" xfId="0" applyNumberFormat="1" applyFont="1" applyFill="1" applyBorder="1" applyAlignment="1">
      <alignment horizontal="right" vertical="top" wrapText="1"/>
    </xf>
    <xf numFmtId="10" fontId="16" fillId="7" borderId="26" xfId="0" applyNumberFormat="1" applyFont="1" applyFill="1" applyBorder="1" applyAlignment="1">
      <alignment horizontal="left" vertical="top" wrapText="1"/>
    </xf>
    <xf numFmtId="10" fontId="16" fillId="3" borderId="6" xfId="0" applyNumberFormat="1" applyFont="1" applyFill="1" applyBorder="1" applyAlignment="1">
      <alignment horizontal="left" vertical="top" wrapText="1"/>
    </xf>
    <xf numFmtId="9" fontId="16" fillId="7" borderId="7" xfId="0" applyNumberFormat="1" applyFont="1" applyFill="1" applyBorder="1" applyAlignment="1">
      <alignment horizontal="left" vertical="top" wrapText="1"/>
    </xf>
    <xf numFmtId="0" fontId="16" fillId="7" borderId="27" xfId="0" applyFont="1" applyFill="1" applyBorder="1" applyAlignment="1">
      <alignment horizontal="left" vertical="top" wrapText="1"/>
    </xf>
    <xf numFmtId="9" fontId="16" fillId="12" borderId="1" xfId="0" applyNumberFormat="1" applyFont="1" applyFill="1" applyBorder="1" applyAlignment="1">
      <alignment horizontal="left" vertical="top" wrapText="1"/>
    </xf>
    <xf numFmtId="9" fontId="16" fillId="10" borderId="1" xfId="0" applyNumberFormat="1" applyFont="1" applyFill="1" applyBorder="1" applyAlignment="1">
      <alignment horizontal="left" vertical="top" wrapText="1"/>
    </xf>
    <xf numFmtId="9" fontId="16" fillId="10" borderId="23" xfId="0" applyNumberFormat="1" applyFont="1" applyFill="1" applyBorder="1" applyAlignment="1">
      <alignment horizontal="left" vertical="top" wrapText="1"/>
    </xf>
    <xf numFmtId="0" fontId="16" fillId="12" borderId="1" xfId="0" applyFont="1" applyFill="1" applyBorder="1" applyAlignment="1">
      <alignment horizontal="left" vertical="top" wrapText="1"/>
    </xf>
    <xf numFmtId="0" fontId="16" fillId="10" borderId="1" xfId="0" applyFont="1" applyFill="1" applyBorder="1" applyAlignment="1">
      <alignment horizontal="left" vertical="top" wrapText="1"/>
    </xf>
    <xf numFmtId="0" fontId="16" fillId="10" borderId="23" xfId="0" applyFont="1" applyFill="1" applyBorder="1" applyAlignment="1">
      <alignment horizontal="left" vertical="top" wrapText="1"/>
    </xf>
    <xf numFmtId="166" fontId="16" fillId="11" borderId="6" xfId="0" applyNumberFormat="1" applyFont="1" applyFill="1" applyBorder="1" applyAlignment="1">
      <alignment horizontal="left" vertical="top" wrapText="1"/>
    </xf>
    <xf numFmtId="166" fontId="16" fillId="3" borderId="22" xfId="0" applyNumberFormat="1" applyFont="1" applyFill="1" applyBorder="1" applyAlignment="1">
      <alignment horizontal="left" vertical="top" wrapText="1"/>
    </xf>
    <xf numFmtId="165" fontId="0" fillId="0" borderId="0" xfId="5" applyNumberFormat="1" applyFont="1" applyAlignment="1">
      <alignment horizontal="right"/>
    </xf>
    <xf numFmtId="165" fontId="0" fillId="11" borderId="26" xfId="5" applyNumberFormat="1" applyFont="1" applyFill="1" applyBorder="1" applyAlignment="1">
      <alignment vertical="center" wrapText="1"/>
    </xf>
    <xf numFmtId="165" fontId="0" fillId="11" borderId="6" xfId="5" applyNumberFormat="1" applyFont="1" applyFill="1" applyBorder="1" applyAlignment="1">
      <alignment vertical="center" wrapText="1"/>
    </xf>
    <xf numFmtId="165" fontId="0" fillId="11" borderId="22" xfId="5" applyNumberFormat="1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left" vertical="center"/>
    </xf>
    <xf numFmtId="1" fontId="0" fillId="0" borderId="0" xfId="0" applyNumberFormat="1" applyFill="1" applyBorder="1"/>
    <xf numFmtId="0" fontId="16" fillId="12" borderId="6" xfId="0" applyFont="1" applyFill="1" applyBorder="1" applyAlignment="1">
      <alignment horizontal="right" vertical="top" wrapText="1"/>
    </xf>
    <xf numFmtId="3" fontId="16" fillId="11" borderId="6" xfId="0" applyNumberFormat="1" applyFont="1" applyFill="1" applyBorder="1" applyAlignment="1">
      <alignment horizontal="right" vertical="top" wrapText="1"/>
    </xf>
    <xf numFmtId="0" fontId="16" fillId="3" borderId="6" xfId="0" applyFont="1" applyFill="1" applyBorder="1" applyAlignment="1">
      <alignment horizontal="right" vertical="top" wrapText="1"/>
    </xf>
    <xf numFmtId="0" fontId="16" fillId="10" borderId="6" xfId="0" applyFont="1" applyFill="1" applyBorder="1" applyAlignment="1">
      <alignment horizontal="right" vertical="top" wrapText="1"/>
    </xf>
    <xf numFmtId="3" fontId="16" fillId="3" borderId="6" xfId="0" applyNumberFormat="1" applyFont="1" applyFill="1" applyBorder="1" applyAlignment="1">
      <alignment horizontal="right" vertical="top" wrapText="1"/>
    </xf>
    <xf numFmtId="9" fontId="5" fillId="0" borderId="0" xfId="1" applyFont="1" applyFill="1" applyBorder="1" applyAlignment="1">
      <alignment horizontal="left" wrapText="1"/>
    </xf>
    <xf numFmtId="165" fontId="0" fillId="11" borderId="26" xfId="5" applyNumberFormat="1" applyFont="1" applyFill="1" applyBorder="1" applyAlignment="1">
      <alignment horizontal="right" vertical="center" wrapText="1"/>
    </xf>
    <xf numFmtId="165" fontId="0" fillId="11" borderId="6" xfId="5" applyNumberFormat="1" applyFont="1" applyFill="1" applyBorder="1" applyAlignment="1">
      <alignment horizontal="right" vertical="center" wrapText="1"/>
    </xf>
    <xf numFmtId="165" fontId="0" fillId="11" borderId="22" xfId="5" applyNumberFormat="1" applyFont="1" applyFill="1" applyBorder="1" applyAlignment="1">
      <alignment horizontal="right" vertical="center" wrapText="1"/>
    </xf>
    <xf numFmtId="9" fontId="0" fillId="12" borderId="27" xfId="1" applyFont="1" applyFill="1" applyBorder="1" applyAlignment="1">
      <alignment horizontal="right" vertical="center" wrapText="1"/>
    </xf>
    <xf numFmtId="165" fontId="0" fillId="12" borderId="1" xfId="5" applyNumberFormat="1" applyFont="1" applyFill="1" applyBorder="1" applyAlignment="1">
      <alignment horizontal="right" vertical="center" wrapText="1"/>
    </xf>
    <xf numFmtId="165" fontId="0" fillId="12" borderId="23" xfId="5" applyNumberFormat="1" applyFont="1" applyFill="1" applyBorder="1" applyAlignment="1">
      <alignment horizontal="right" vertical="center" wrapText="1"/>
    </xf>
    <xf numFmtId="9" fontId="16" fillId="7" borderId="27" xfId="0" applyNumberFormat="1" applyFont="1" applyFill="1" applyBorder="1" applyAlignment="1">
      <alignment horizontal="right" vertical="top" wrapText="1"/>
    </xf>
    <xf numFmtId="10" fontId="16" fillId="7" borderId="26" xfId="0" applyNumberFormat="1" applyFont="1" applyFill="1" applyBorder="1" applyAlignment="1">
      <alignment horizontal="right" vertical="top" wrapText="1"/>
    </xf>
    <xf numFmtId="9" fontId="16" fillId="12" borderId="1" xfId="0" applyNumberFormat="1" applyFont="1" applyFill="1" applyBorder="1" applyAlignment="1">
      <alignment horizontal="right" vertical="top" wrapText="1"/>
    </xf>
    <xf numFmtId="9" fontId="16" fillId="10" borderId="1" xfId="0" applyNumberFormat="1" applyFont="1" applyFill="1" applyBorder="1" applyAlignment="1">
      <alignment horizontal="right" vertical="top" wrapText="1"/>
    </xf>
    <xf numFmtId="9" fontId="16" fillId="10" borderId="23" xfId="0" applyNumberFormat="1" applyFont="1" applyFill="1" applyBorder="1" applyAlignment="1">
      <alignment horizontal="right" vertical="top" wrapText="1"/>
    </xf>
    <xf numFmtId="9" fontId="16" fillId="7" borderId="4" xfId="0" applyNumberFormat="1" applyFont="1" applyFill="1" applyBorder="1" applyAlignment="1">
      <alignment horizontal="right" vertical="top" wrapText="1"/>
    </xf>
    <xf numFmtId="9" fontId="16" fillId="10" borderId="3" xfId="0" applyNumberFormat="1" applyFont="1" applyFill="1" applyBorder="1" applyAlignment="1">
      <alignment horizontal="right" vertical="top" wrapText="1"/>
    </xf>
    <xf numFmtId="0" fontId="16" fillId="11" borderId="6" xfId="0" applyFont="1" applyFill="1" applyBorder="1" applyAlignment="1">
      <alignment horizontal="right" vertical="top" wrapText="1"/>
    </xf>
    <xf numFmtId="0" fontId="16" fillId="3" borderId="22" xfId="0" applyFont="1" applyFill="1" applyBorder="1" applyAlignment="1">
      <alignment horizontal="right" vertical="top" wrapText="1"/>
    </xf>
    <xf numFmtId="0" fontId="16" fillId="7" borderId="7" xfId="0" applyFont="1" applyFill="1" applyBorder="1" applyAlignment="1">
      <alignment horizontal="right" vertical="top" wrapText="1"/>
    </xf>
    <xf numFmtId="0" fontId="16" fillId="3" borderId="8" xfId="0" applyFont="1" applyFill="1" applyBorder="1" applyAlignment="1">
      <alignment horizontal="right" vertical="top" wrapText="1"/>
    </xf>
    <xf numFmtId="0" fontId="16" fillId="7" borderId="26" xfId="0" applyFont="1" applyFill="1" applyBorder="1" applyAlignment="1">
      <alignment horizontal="right" vertical="top" wrapText="1"/>
    </xf>
    <xf numFmtId="9" fontId="16" fillId="11" borderId="6" xfId="0" applyNumberFormat="1" applyFont="1" applyFill="1" applyBorder="1" applyAlignment="1">
      <alignment horizontal="right" vertical="top" wrapText="1"/>
    </xf>
    <xf numFmtId="9" fontId="16" fillId="3" borderId="6" xfId="0" applyNumberFormat="1" applyFont="1" applyFill="1" applyBorder="1" applyAlignment="1">
      <alignment horizontal="right" vertical="top" wrapText="1"/>
    </xf>
    <xf numFmtId="9" fontId="16" fillId="3" borderId="22" xfId="0" applyNumberFormat="1" applyFont="1" applyFill="1" applyBorder="1" applyAlignment="1">
      <alignment horizontal="right" vertical="top" wrapText="1"/>
    </xf>
    <xf numFmtId="9" fontId="16" fillId="11" borderId="6" xfId="1" applyFont="1" applyFill="1" applyBorder="1" applyAlignment="1">
      <alignment horizontal="right" vertical="top" wrapText="1"/>
    </xf>
    <xf numFmtId="9" fontId="16" fillId="3" borderId="6" xfId="1" applyFont="1" applyFill="1" applyBorder="1" applyAlignment="1">
      <alignment horizontal="right" vertical="top" wrapText="1"/>
    </xf>
    <xf numFmtId="165" fontId="16" fillId="12" borderId="1" xfId="5" applyNumberFormat="1" applyFont="1" applyFill="1" applyBorder="1" applyAlignment="1">
      <alignment vertical="top" wrapText="1"/>
    </xf>
    <xf numFmtId="165" fontId="16" fillId="11" borderId="6" xfId="5" applyNumberFormat="1" applyFont="1" applyFill="1" applyBorder="1" applyAlignment="1">
      <alignment vertical="top" wrapText="1"/>
    </xf>
    <xf numFmtId="165" fontId="16" fillId="12" borderId="6" xfId="5" applyNumberFormat="1" applyFont="1" applyFill="1" applyBorder="1" applyAlignment="1">
      <alignment vertical="top" wrapText="1"/>
    </xf>
    <xf numFmtId="165" fontId="31" fillId="8" borderId="0" xfId="3" applyNumberFormat="1" applyFont="1" applyFill="1" applyBorder="1" applyAlignment="1">
      <alignment vertical="center"/>
    </xf>
    <xf numFmtId="165" fontId="31" fillId="12" borderId="14" xfId="3" applyNumberFormat="1" applyFont="1" applyFill="1" applyBorder="1" applyAlignment="1">
      <alignment vertical="center"/>
    </xf>
    <xf numFmtId="0" fontId="8" fillId="8" borderId="5" xfId="2" applyFont="1" applyFill="1" applyBorder="1" applyAlignment="1">
      <alignment horizontal="right" vertical="center"/>
    </xf>
    <xf numFmtId="0" fontId="8" fillId="8" borderId="9" xfId="2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4" fillId="14" borderId="32" xfId="0" applyFont="1" applyFill="1" applyBorder="1" applyAlignment="1">
      <alignment horizontal="center" vertical="center"/>
    </xf>
    <xf numFmtId="0" fontId="16" fillId="18" borderId="4" xfId="0" applyFont="1" applyFill="1" applyBorder="1" applyAlignment="1">
      <alignment vertical="top" wrapText="1"/>
    </xf>
    <xf numFmtId="0" fontId="16" fillId="18" borderId="1" xfId="0" applyFont="1" applyFill="1" applyBorder="1" applyAlignment="1">
      <alignment vertical="top" wrapText="1"/>
    </xf>
    <xf numFmtId="9" fontId="16" fillId="2" borderId="4" xfId="0" applyNumberFormat="1" applyFont="1" applyFill="1" applyBorder="1" applyAlignment="1">
      <alignment vertical="top" wrapText="1"/>
    </xf>
    <xf numFmtId="9" fontId="16" fillId="3" borderId="1" xfId="1" applyFont="1" applyFill="1" applyBorder="1" applyAlignment="1">
      <alignment horizontal="right" vertical="top" wrapText="1"/>
    </xf>
    <xf numFmtId="9" fontId="16" fillId="11" borderId="1" xfId="1" applyFont="1" applyFill="1" applyBorder="1" applyAlignment="1">
      <alignment horizontal="right" vertical="top" wrapText="1"/>
    </xf>
    <xf numFmtId="0" fontId="16" fillId="2" borderId="4" xfId="0" applyFont="1" applyFill="1" applyBorder="1" applyAlignment="1">
      <alignment horizontal="right" vertical="top" wrapText="1"/>
    </xf>
    <xf numFmtId="165" fontId="16" fillId="0" borderId="6" xfId="5" applyNumberFormat="1" applyFont="1" applyFill="1" applyBorder="1" applyAlignment="1">
      <alignment vertical="top" wrapText="1"/>
    </xf>
    <xf numFmtId="9" fontId="16" fillId="3" borderId="8" xfId="0" applyNumberFormat="1" applyFont="1" applyFill="1" applyBorder="1" applyAlignment="1">
      <alignment horizontal="right" vertical="top" wrapText="1"/>
    </xf>
    <xf numFmtId="165" fontId="16" fillId="3" borderId="6" xfId="5" applyNumberFormat="1" applyFont="1" applyFill="1" applyBorder="1" applyAlignment="1">
      <alignment vertical="top" wrapText="1"/>
    </xf>
    <xf numFmtId="0" fontId="13" fillId="8" borderId="0" xfId="2" applyFont="1" applyFill="1" applyBorder="1" applyAlignment="1">
      <alignment horizontal="right" vertical="center"/>
    </xf>
    <xf numFmtId="10" fontId="0" fillId="11" borderId="6" xfId="0" applyNumberFormat="1" applyFont="1" applyFill="1" applyBorder="1" applyAlignment="1">
      <alignment horizontal="left" vertical="top" wrapText="1"/>
    </xf>
    <xf numFmtId="9" fontId="0" fillId="3" borderId="6" xfId="0" applyNumberFormat="1" applyFont="1" applyFill="1" applyBorder="1" applyAlignment="1">
      <alignment horizontal="left" vertical="top" wrapText="1"/>
    </xf>
    <xf numFmtId="10" fontId="0" fillId="3" borderId="8" xfId="0" applyNumberFormat="1" applyFont="1" applyFill="1" applyBorder="1" applyAlignment="1">
      <alignment horizontal="left" vertical="top" wrapText="1"/>
    </xf>
    <xf numFmtId="10" fontId="0" fillId="7" borderId="26" xfId="0" applyNumberFormat="1" applyFont="1" applyFill="1" applyBorder="1" applyAlignment="1">
      <alignment horizontal="left" vertical="top" wrapText="1"/>
    </xf>
    <xf numFmtId="10" fontId="0" fillId="3" borderId="22" xfId="0" applyNumberFormat="1" applyFont="1" applyFill="1" applyBorder="1" applyAlignment="1">
      <alignment horizontal="left" vertical="top" wrapText="1"/>
    </xf>
    <xf numFmtId="9" fontId="0" fillId="11" borderId="6" xfId="0" applyNumberFormat="1" applyFont="1" applyFill="1" applyBorder="1" applyAlignment="1">
      <alignment horizontal="left" vertical="top" wrapText="1"/>
    </xf>
    <xf numFmtId="9" fontId="0" fillId="3" borderId="22" xfId="0" applyNumberFormat="1" applyFont="1" applyFill="1" applyBorder="1" applyAlignment="1">
      <alignment horizontal="left" vertical="top" wrapText="1"/>
    </xf>
    <xf numFmtId="165" fontId="16" fillId="18" borderId="1" xfId="5" applyNumberFormat="1" applyFont="1" applyFill="1" applyBorder="1" applyAlignment="1">
      <alignment vertical="top" wrapText="1"/>
    </xf>
    <xf numFmtId="9" fontId="32" fillId="12" borderId="1" xfId="1" applyFont="1" applyFill="1" applyBorder="1" applyAlignment="1">
      <alignment horizontal="right" wrapText="1"/>
    </xf>
    <xf numFmtId="9" fontId="32" fillId="10" borderId="1" xfId="1" applyFont="1" applyFill="1" applyBorder="1" applyAlignment="1">
      <alignment horizontal="right" wrapText="1"/>
    </xf>
    <xf numFmtId="9" fontId="0" fillId="0" borderId="0" xfId="1" applyFont="1" applyBorder="1"/>
    <xf numFmtId="165" fontId="17" fillId="10" borderId="17" xfId="3" applyNumberFormat="1" applyFont="1" applyFill="1" applyBorder="1" applyAlignment="1">
      <alignment vertical="center"/>
    </xf>
    <xf numFmtId="165" fontId="33" fillId="5" borderId="1" xfId="5" applyNumberFormat="1" applyFont="1" applyFill="1" applyBorder="1" applyAlignment="1" applyProtection="1">
      <alignment horizontal="center" vertical="center" wrapText="1"/>
    </xf>
    <xf numFmtId="0" fontId="33" fillId="5" borderId="1" xfId="2" applyNumberFormat="1" applyFont="1" applyFill="1" applyBorder="1" applyAlignment="1" applyProtection="1">
      <alignment horizontal="center" vertical="center" wrapText="1"/>
    </xf>
    <xf numFmtId="17" fontId="33" fillId="5" borderId="1" xfId="2" applyNumberFormat="1" applyFont="1" applyFill="1" applyBorder="1" applyAlignment="1" applyProtection="1">
      <alignment horizontal="center" vertical="center" wrapText="1"/>
    </xf>
    <xf numFmtId="166" fontId="33" fillId="5" borderId="1" xfId="1" applyNumberFormat="1" applyFont="1" applyFill="1" applyBorder="1" applyAlignment="1" applyProtection="1">
      <alignment horizontal="center" vertical="center" wrapText="1"/>
    </xf>
    <xf numFmtId="0" fontId="34" fillId="0" borderId="3" xfId="2" applyFont="1" applyFill="1" applyBorder="1" applyAlignment="1" applyProtection="1">
      <alignment vertical="center" wrapText="1"/>
    </xf>
    <xf numFmtId="3" fontId="35" fillId="18" borderId="1" xfId="0" applyNumberFormat="1" applyFont="1" applyFill="1" applyBorder="1" applyAlignment="1" applyProtection="1">
      <alignment horizontal="center" vertical="center"/>
    </xf>
    <xf numFmtId="165" fontId="34" fillId="0" borderId="1" xfId="5" applyNumberFormat="1" applyFont="1" applyFill="1" applyBorder="1" applyAlignment="1" applyProtection="1">
      <alignment vertical="center" wrapText="1"/>
      <protection locked="0"/>
    </xf>
    <xf numFmtId="166" fontId="34" fillId="0" borderId="1" xfId="1" applyNumberFormat="1" applyFont="1" applyFill="1" applyBorder="1" applyAlignment="1" applyProtection="1">
      <alignment vertical="center" wrapText="1"/>
    </xf>
    <xf numFmtId="166" fontId="34" fillId="18" borderId="1" xfId="5" applyNumberFormat="1" applyFont="1" applyFill="1" applyBorder="1" applyAlignment="1" applyProtection="1">
      <alignment vertical="center" wrapText="1"/>
    </xf>
    <xf numFmtId="165" fontId="34" fillId="0" borderId="1" xfId="3" applyNumberFormat="1" applyFont="1" applyFill="1" applyBorder="1" applyAlignment="1" applyProtection="1">
      <alignment vertical="center" wrapText="1"/>
      <protection locked="0"/>
    </xf>
    <xf numFmtId="166" fontId="34" fillId="18" borderId="1" xfId="1" applyNumberFormat="1" applyFont="1" applyFill="1" applyBorder="1" applyAlignment="1" applyProtection="1">
      <alignment vertical="center" wrapText="1"/>
    </xf>
    <xf numFmtId="166" fontId="34" fillId="0" borderId="1" xfId="1" applyNumberFormat="1" applyFont="1" applyFill="1" applyBorder="1" applyAlignment="1" applyProtection="1">
      <alignment vertical="center" wrapText="1"/>
      <protection locked="0"/>
    </xf>
    <xf numFmtId="166" fontId="34" fillId="18" borderId="1" xfId="1" applyNumberFormat="1" applyFont="1" applyFill="1" applyBorder="1" applyAlignment="1" applyProtection="1">
      <alignment vertical="center" wrapText="1"/>
      <protection locked="0"/>
    </xf>
    <xf numFmtId="9" fontId="34" fillId="0" borderId="1" xfId="1" applyFont="1" applyFill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vertical="center"/>
    </xf>
    <xf numFmtId="165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</xf>
    <xf numFmtId="0" fontId="0" fillId="18" borderId="1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18" borderId="1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" fillId="20" borderId="1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0" xfId="0" applyFill="1"/>
    <xf numFmtId="0" fontId="3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wrapText="1"/>
    </xf>
    <xf numFmtId="9" fontId="16" fillId="2" borderId="4" xfId="0" applyNumberFormat="1" applyFont="1" applyFill="1" applyBorder="1" applyAlignment="1">
      <alignment horizontal="right" vertical="top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11" fillId="5" borderId="9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left" vertical="center" wrapText="1"/>
    </xf>
    <xf numFmtId="0" fontId="11" fillId="5" borderId="9" xfId="0" applyFont="1" applyFill="1" applyBorder="1" applyAlignment="1"/>
    <xf numFmtId="165" fontId="34" fillId="0" borderId="4" xfId="5" applyNumberFormat="1" applyFont="1" applyFill="1" applyBorder="1" applyAlignment="1" applyProtection="1">
      <alignment vertical="center" wrapText="1"/>
      <protection locked="0"/>
    </xf>
    <xf numFmtId="0" fontId="16" fillId="0" borderId="4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  <xf numFmtId="0" fontId="16" fillId="0" borderId="3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right" vertical="top" wrapText="1"/>
    </xf>
    <xf numFmtId="0" fontId="16" fillId="0" borderId="4" xfId="0" applyFont="1" applyFill="1" applyBorder="1" applyAlignment="1">
      <alignment horizontal="right" vertical="top" wrapText="1"/>
    </xf>
    <xf numFmtId="43" fontId="0" fillId="0" borderId="0" xfId="0" applyNumberFormat="1"/>
    <xf numFmtId="165" fontId="0" fillId="0" borderId="0" xfId="5" applyNumberFormat="1" applyFont="1" applyFill="1" applyBorder="1"/>
    <xf numFmtId="165" fontId="8" fillId="8" borderId="0" xfId="3" applyNumberFormat="1" applyFont="1" applyFill="1" applyBorder="1" applyAlignment="1">
      <alignment horizontal="right" vertical="center"/>
    </xf>
    <xf numFmtId="167" fontId="0" fillId="0" borderId="0" xfId="0" applyNumberFormat="1"/>
    <xf numFmtId="165" fontId="0" fillId="0" borderId="0" xfId="0" applyNumberFormat="1" applyFill="1" applyBorder="1" applyAlignment="1">
      <alignment wrapText="1"/>
    </xf>
    <xf numFmtId="9" fontId="0" fillId="0" borderId="0" xfId="1" applyFont="1" applyBorder="1" applyAlignment="1">
      <alignment wrapText="1"/>
    </xf>
    <xf numFmtId="9" fontId="0" fillId="0" borderId="0" xfId="1" applyFont="1" applyFill="1" applyBorder="1" applyAlignment="1">
      <alignment wrapText="1"/>
    </xf>
    <xf numFmtId="1" fontId="0" fillId="0" borderId="0" xfId="0" applyNumberFormat="1" applyBorder="1" applyAlignment="1">
      <alignment wrapText="1"/>
    </xf>
    <xf numFmtId="1" fontId="0" fillId="0" borderId="0" xfId="0" applyNumberFormat="1" applyFill="1" applyBorder="1" applyAlignment="1">
      <alignment wrapText="1"/>
    </xf>
    <xf numFmtId="0" fontId="11" fillId="0" borderId="0" xfId="0" applyFont="1" applyFill="1" applyBorder="1" applyAlignment="1">
      <alignment vertical="center"/>
    </xf>
    <xf numFmtId="0" fontId="4" fillId="4" borderId="44" xfId="0" applyFont="1" applyFill="1" applyBorder="1" applyAlignment="1">
      <alignment horizontal="left" vertical="center"/>
    </xf>
    <xf numFmtId="0" fontId="16" fillId="0" borderId="45" xfId="0" applyFont="1" applyFill="1" applyBorder="1" applyAlignment="1">
      <alignment vertical="top" wrapText="1"/>
    </xf>
    <xf numFmtId="0" fontId="16" fillId="0" borderId="46" xfId="0" applyFont="1" applyFill="1" applyBorder="1" applyAlignment="1">
      <alignment vertical="top" wrapText="1"/>
    </xf>
    <xf numFmtId="0" fontId="16" fillId="0" borderId="47" xfId="0" applyFont="1" applyFill="1" applyBorder="1" applyAlignment="1">
      <alignment vertical="top" wrapText="1"/>
    </xf>
    <xf numFmtId="0" fontId="16" fillId="0" borderId="50" xfId="0" applyFont="1" applyFill="1" applyBorder="1" applyAlignment="1">
      <alignment vertical="top" wrapText="1"/>
    </xf>
    <xf numFmtId="10" fontId="16" fillId="7" borderId="51" xfId="0" applyNumberFormat="1" applyFont="1" applyFill="1" applyBorder="1" applyAlignment="1">
      <alignment horizontal="right" vertical="top" wrapText="1"/>
    </xf>
    <xf numFmtId="9" fontId="16" fillId="3" borderId="47" xfId="0" applyNumberFormat="1" applyFont="1" applyFill="1" applyBorder="1" applyAlignment="1">
      <alignment horizontal="right" vertical="top" wrapText="1"/>
    </xf>
    <xf numFmtId="9" fontId="16" fillId="3" borderId="52" xfId="0" applyNumberFormat="1" applyFont="1" applyFill="1" applyBorder="1" applyAlignment="1">
      <alignment horizontal="right" vertical="top" wrapText="1"/>
    </xf>
    <xf numFmtId="0" fontId="16" fillId="7" borderId="53" xfId="0" applyFont="1" applyFill="1" applyBorder="1" applyAlignment="1">
      <alignment horizontal="right" vertical="top" wrapText="1"/>
    </xf>
    <xf numFmtId="0" fontId="16" fillId="11" borderId="47" xfId="0" applyFont="1" applyFill="1" applyBorder="1" applyAlignment="1">
      <alignment horizontal="right" vertical="top" wrapText="1"/>
    </xf>
    <xf numFmtId="0" fontId="16" fillId="3" borderId="47" xfId="0" applyFont="1" applyFill="1" applyBorder="1" applyAlignment="1">
      <alignment horizontal="right" vertical="top" wrapText="1"/>
    </xf>
    <xf numFmtId="0" fontId="16" fillId="3" borderId="50" xfId="0" applyFont="1" applyFill="1" applyBorder="1" applyAlignment="1">
      <alignment horizontal="right" vertical="top" wrapText="1"/>
    </xf>
    <xf numFmtId="0" fontId="16" fillId="3" borderId="52" xfId="0" applyFont="1" applyFill="1" applyBorder="1" applyAlignment="1">
      <alignment horizontal="right" vertical="top" wrapText="1"/>
    </xf>
    <xf numFmtId="0" fontId="16" fillId="7" borderId="51" xfId="0" applyFont="1" applyFill="1" applyBorder="1" applyAlignment="1">
      <alignment horizontal="right" vertical="top" wrapText="1"/>
    </xf>
    <xf numFmtId="9" fontId="16" fillId="11" borderId="47" xfId="1" applyFont="1" applyFill="1" applyBorder="1" applyAlignment="1">
      <alignment horizontal="right" vertical="top" wrapText="1"/>
    </xf>
    <xf numFmtId="9" fontId="16" fillId="3" borderId="47" xfId="1" applyFont="1" applyFill="1" applyBorder="1" applyAlignment="1">
      <alignment horizontal="right" vertical="top" wrapText="1"/>
    </xf>
    <xf numFmtId="165" fontId="16" fillId="7" borderId="26" xfId="5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/>
    </xf>
    <xf numFmtId="0" fontId="16" fillId="0" borderId="5" xfId="0" applyFont="1" applyFill="1" applyBorder="1" applyAlignment="1">
      <alignment vertical="top" wrapText="1"/>
    </xf>
    <xf numFmtId="0" fontId="4" fillId="14" borderId="0" xfId="0" applyFont="1" applyFill="1" applyBorder="1" applyAlignment="1">
      <alignment horizontal="center" vertical="center"/>
    </xf>
    <xf numFmtId="164" fontId="16" fillId="7" borderId="26" xfId="5" applyFont="1" applyFill="1" applyBorder="1" applyAlignment="1">
      <alignment horizontal="right" vertical="top" wrapText="1"/>
    </xf>
    <xf numFmtId="9" fontId="26" fillId="12" borderId="6" xfId="1" applyFont="1" applyFill="1" applyBorder="1" applyAlignment="1">
      <alignment horizontal="right" wrapText="1"/>
    </xf>
    <xf numFmtId="0" fontId="16" fillId="0" borderId="6" xfId="0" applyFont="1" applyFill="1" applyBorder="1" applyAlignment="1">
      <alignment vertical="top" wrapText="1"/>
    </xf>
    <xf numFmtId="0" fontId="16" fillId="11" borderId="6" xfId="0" applyFont="1" applyFill="1" applyBorder="1" applyAlignment="1">
      <alignment horizontal="right" vertical="top" wrapText="1"/>
    </xf>
    <xf numFmtId="9" fontId="16" fillId="11" borderId="6" xfId="0" applyNumberFormat="1" applyFont="1" applyFill="1" applyBorder="1" applyAlignment="1">
      <alignment horizontal="right" vertical="top" wrapText="1"/>
    </xf>
    <xf numFmtId="9" fontId="17" fillId="10" borderId="17" xfId="1" applyFont="1" applyFill="1" applyBorder="1" applyAlignment="1">
      <alignment vertical="center"/>
    </xf>
    <xf numFmtId="9" fontId="17" fillId="12" borderId="14" xfId="1" applyFont="1" applyFill="1" applyBorder="1" applyAlignment="1">
      <alignment vertical="center"/>
    </xf>
    <xf numFmtId="165" fontId="16" fillId="2" borderId="4" xfId="5" applyNumberFormat="1" applyFont="1" applyFill="1" applyBorder="1" applyAlignment="1">
      <alignment vertical="top" wrapText="1"/>
    </xf>
    <xf numFmtId="3" fontId="0" fillId="0" borderId="0" xfId="0" applyNumberFormat="1"/>
    <xf numFmtId="0" fontId="1" fillId="0" borderId="5" xfId="0" applyFont="1" applyBorder="1"/>
    <xf numFmtId="0" fontId="1" fillId="0" borderId="0" xfId="0" applyFont="1"/>
    <xf numFmtId="3" fontId="1" fillId="0" borderId="0" xfId="0" applyNumberFormat="1" applyFont="1"/>
    <xf numFmtId="0" fontId="1" fillId="0" borderId="5" xfId="0" applyFont="1" applyBorder="1" applyAlignment="1">
      <alignment horizontal="center"/>
    </xf>
    <xf numFmtId="0" fontId="0" fillId="8" borderId="1" xfId="0" applyFill="1" applyBorder="1" applyAlignment="1">
      <alignment horizontal="left" wrapText="1"/>
    </xf>
    <xf numFmtId="0" fontId="15" fillId="5" borderId="8" xfId="2" applyFont="1" applyFill="1" applyBorder="1" applyAlignment="1">
      <alignment vertical="center"/>
    </xf>
    <xf numFmtId="0" fontId="15" fillId="5" borderId="5" xfId="2" applyFont="1" applyFill="1" applyBorder="1" applyAlignment="1">
      <alignment vertical="center"/>
    </xf>
    <xf numFmtId="165" fontId="15" fillId="5" borderId="8" xfId="3" applyNumberFormat="1" applyFont="1" applyFill="1" applyBorder="1" applyAlignment="1">
      <alignment vertical="center"/>
    </xf>
    <xf numFmtId="165" fontId="15" fillId="5" borderId="5" xfId="3" applyNumberFormat="1" applyFont="1" applyFill="1" applyBorder="1" applyAlignment="1">
      <alignment vertical="center"/>
    </xf>
    <xf numFmtId="0" fontId="1" fillId="8" borderId="0" xfId="0" applyFont="1" applyFill="1" applyBorder="1" applyAlignment="1">
      <alignment horizontal="right" vertical="center"/>
    </xf>
    <xf numFmtId="0" fontId="1" fillId="8" borderId="5" xfId="0" applyFont="1" applyFill="1" applyBorder="1" applyAlignment="1">
      <alignment horizontal="right" vertical="center"/>
    </xf>
    <xf numFmtId="0" fontId="1" fillId="5" borderId="0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0" fillId="8" borderId="9" xfId="0" applyFill="1" applyBorder="1" applyAlignment="1">
      <alignment horizontal="left" wrapText="1"/>
    </xf>
    <xf numFmtId="0" fontId="16" fillId="12" borderId="0" xfId="0" applyFont="1" applyFill="1" applyBorder="1" applyAlignment="1">
      <alignment horizontal="center"/>
    </xf>
    <xf numFmtId="0" fontId="16" fillId="12" borderId="14" xfId="0" applyFont="1" applyFill="1" applyBorder="1" applyAlignment="1">
      <alignment horizontal="center"/>
    </xf>
    <xf numFmtId="0" fontId="16" fillId="10" borderId="0" xfId="0" applyFont="1" applyFill="1" applyAlignment="1">
      <alignment horizontal="center"/>
    </xf>
    <xf numFmtId="0" fontId="14" fillId="5" borderId="2" xfId="2" applyFont="1" applyFill="1" applyBorder="1" applyAlignment="1">
      <alignment horizontal="left" vertical="center" wrapText="1"/>
    </xf>
    <xf numFmtId="0" fontId="14" fillId="5" borderId="0" xfId="2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16" fillId="2" borderId="28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0" borderId="28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17" borderId="24" xfId="0" applyFont="1" applyFill="1" applyBorder="1" applyAlignment="1">
      <alignment horizontal="center" vertical="center"/>
    </xf>
    <xf numFmtId="0" fontId="11" fillId="17" borderId="9" xfId="0" applyFont="1" applyFill="1" applyBorder="1" applyAlignment="1">
      <alignment horizontal="center" vertical="center"/>
    </xf>
    <xf numFmtId="0" fontId="11" fillId="17" borderId="16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16" fillId="0" borderId="29" xfId="0" applyFont="1" applyFill="1" applyBorder="1" applyAlignment="1">
      <alignment horizontal="left" vertical="top" wrapText="1"/>
    </xf>
    <xf numFmtId="0" fontId="16" fillId="0" borderId="30" xfId="0" applyFont="1" applyFill="1" applyBorder="1" applyAlignment="1">
      <alignment horizontal="left" vertical="top" wrapText="1"/>
    </xf>
    <xf numFmtId="0" fontId="23" fillId="16" borderId="3" xfId="0" applyFont="1" applyFill="1" applyBorder="1" applyAlignment="1">
      <alignment horizontal="center" vertical="center"/>
    </xf>
    <xf numFmtId="0" fontId="23" fillId="16" borderId="9" xfId="0" applyFont="1" applyFill="1" applyBorder="1" applyAlignment="1">
      <alignment horizontal="center" vertical="center"/>
    </xf>
    <xf numFmtId="0" fontId="23" fillId="16" borderId="4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5" borderId="9" xfId="0" applyFont="1" applyFill="1" applyBorder="1" applyAlignment="1"/>
    <xf numFmtId="0" fontId="11" fillId="5" borderId="4" xfId="0" applyFont="1" applyFill="1" applyBorder="1" applyAlignment="1"/>
    <xf numFmtId="0" fontId="23" fillId="14" borderId="3" xfId="0" applyFont="1" applyFill="1" applyBorder="1" applyAlignment="1">
      <alignment horizontal="center" vertical="center"/>
    </xf>
    <xf numFmtId="0" fontId="23" fillId="14" borderId="9" xfId="0" applyFont="1" applyFill="1" applyBorder="1" applyAlignment="1">
      <alignment horizontal="center" vertical="center"/>
    </xf>
    <xf numFmtId="0" fontId="23" fillId="14" borderId="4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wrapText="1"/>
    </xf>
    <xf numFmtId="0" fontId="39" fillId="5" borderId="0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 wrapText="1"/>
    </xf>
    <xf numFmtId="0" fontId="11" fillId="5" borderId="9" xfId="0" applyFont="1" applyFill="1" applyBorder="1" applyAlignment="1">
      <alignment vertical="center"/>
    </xf>
    <xf numFmtId="0" fontId="23" fillId="4" borderId="27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3" fillId="4" borderId="23" xfId="0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27" xfId="0" applyFont="1" applyFill="1" applyBorder="1" applyAlignment="1">
      <alignment horizontal="center" vertical="center"/>
    </xf>
    <xf numFmtId="0" fontId="24" fillId="4" borderId="2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horizontal="left" vertical="top" wrapText="1"/>
    </xf>
    <xf numFmtId="0" fontId="25" fillId="9" borderId="10" xfId="0" applyFont="1" applyFill="1" applyBorder="1" applyAlignment="1">
      <alignment horizontal="center" vertical="top" wrapText="1"/>
    </xf>
    <xf numFmtId="0" fontId="25" fillId="9" borderId="13" xfId="0" applyFont="1" applyFill="1" applyBorder="1" applyAlignment="1">
      <alignment horizontal="center" vertical="top" wrapText="1"/>
    </xf>
    <xf numFmtId="3" fontId="26" fillId="3" borderId="6" xfId="0" applyNumberFormat="1" applyFont="1" applyFill="1" applyBorder="1" applyAlignment="1">
      <alignment horizontal="center" wrapText="1"/>
    </xf>
    <xf numFmtId="3" fontId="26" fillId="3" borderId="8" xfId="0" applyNumberFormat="1" applyFont="1" applyFill="1" applyBorder="1" applyAlignment="1">
      <alignment horizontal="center" wrapText="1"/>
    </xf>
    <xf numFmtId="3" fontId="26" fillId="3" borderId="1" xfId="0" applyNumberFormat="1" applyFont="1" applyFill="1" applyBorder="1" applyAlignment="1">
      <alignment horizontal="center" wrapText="1"/>
    </xf>
    <xf numFmtId="3" fontId="26" fillId="3" borderId="3" xfId="0" applyNumberFormat="1" applyFont="1" applyFill="1" applyBorder="1" applyAlignment="1">
      <alignment horizontal="center" wrapText="1"/>
    </xf>
    <xf numFmtId="0" fontId="7" fillId="5" borderId="0" xfId="0" applyFont="1" applyFill="1" applyBorder="1" applyAlignment="1">
      <alignment horizontal="left" vertical="center" wrapText="1"/>
    </xf>
    <xf numFmtId="0" fontId="24" fillId="4" borderId="24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 vertical="center"/>
    </xf>
    <xf numFmtId="0" fontId="16" fillId="18" borderId="3" xfId="0" applyFont="1" applyFill="1" applyBorder="1" applyAlignment="1">
      <alignment horizontal="left" vertical="top" wrapText="1"/>
    </xf>
    <xf numFmtId="0" fontId="16" fillId="18" borderId="4" xfId="0" applyFont="1" applyFill="1" applyBorder="1" applyAlignment="1">
      <alignment horizontal="left" vertical="top" wrapText="1"/>
    </xf>
    <xf numFmtId="0" fontId="25" fillId="19" borderId="3" xfId="0" applyFont="1" applyFill="1" applyBorder="1" applyAlignment="1">
      <alignment horizontal="center"/>
    </xf>
    <xf numFmtId="0" fontId="25" fillId="19" borderId="9" xfId="0" applyFont="1" applyFill="1" applyBorder="1" applyAlignment="1">
      <alignment horizontal="center"/>
    </xf>
    <xf numFmtId="0" fontId="25" fillId="19" borderId="4" xfId="0" applyFont="1" applyFill="1" applyBorder="1" applyAlignment="1">
      <alignment horizontal="center"/>
    </xf>
    <xf numFmtId="0" fontId="16" fillId="0" borderId="40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7" fillId="5" borderId="41" xfId="0" applyFont="1" applyFill="1" applyBorder="1" applyAlignment="1">
      <alignment horizontal="left" vertical="center" wrapText="1"/>
    </xf>
    <xf numFmtId="0" fontId="7" fillId="5" borderId="42" xfId="0" applyFont="1" applyFill="1" applyBorder="1" applyAlignment="1">
      <alignment horizontal="left" vertical="center" wrapText="1"/>
    </xf>
    <xf numFmtId="0" fontId="11" fillId="5" borderId="43" xfId="0" applyFont="1" applyFill="1" applyBorder="1" applyAlignment="1">
      <alignment vertical="center"/>
    </xf>
    <xf numFmtId="0" fontId="16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33" fillId="5" borderId="1" xfId="2" applyFont="1" applyFill="1" applyBorder="1" applyAlignment="1" applyProtection="1">
      <alignment horizontal="center" vertical="center" wrapText="1"/>
    </xf>
    <xf numFmtId="0" fontId="1" fillId="20" borderId="3" xfId="0" applyFont="1" applyFill="1" applyBorder="1" applyAlignment="1" applyProtection="1">
      <alignment horizontal="center" vertical="center" wrapText="1"/>
    </xf>
    <xf numFmtId="0" fontId="1" fillId="20" borderId="9" xfId="0" applyFont="1" applyFill="1" applyBorder="1" applyAlignment="1" applyProtection="1">
      <alignment horizontal="center" vertical="center" wrapText="1"/>
    </xf>
    <xf numFmtId="0" fontId="1" fillId="20" borderId="4" xfId="0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left" vertical="center" wrapText="1"/>
    </xf>
    <xf numFmtId="0" fontId="1" fillId="0" borderId="35" xfId="0" applyFont="1" applyBorder="1" applyAlignment="1" applyProtection="1">
      <alignment horizontal="left" vertical="center" wrapText="1"/>
    </xf>
    <xf numFmtId="0" fontId="1" fillId="0" borderId="36" xfId="0" applyFont="1" applyBorder="1" applyAlignment="1" applyProtection="1">
      <alignment horizontal="left" vertical="center" wrapText="1"/>
    </xf>
    <xf numFmtId="0" fontId="1" fillId="0" borderId="37" xfId="0" applyFont="1" applyBorder="1" applyAlignment="1" applyProtection="1">
      <alignment horizontal="left" vertical="center" wrapText="1"/>
    </xf>
    <xf numFmtId="0" fontId="1" fillId="0" borderId="38" xfId="0" applyFont="1" applyBorder="1" applyAlignment="1" applyProtection="1">
      <alignment horizontal="left" vertical="center" wrapText="1"/>
    </xf>
    <xf numFmtId="0" fontId="1" fillId="0" borderId="39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0" fontId="33" fillId="5" borderId="33" xfId="2" applyFont="1" applyFill="1" applyBorder="1" applyAlignment="1" applyProtection="1">
      <alignment horizontal="center" vertical="center"/>
    </xf>
    <xf numFmtId="0" fontId="33" fillId="5" borderId="31" xfId="2" applyFont="1" applyFill="1" applyBorder="1" applyAlignment="1" applyProtection="1">
      <alignment horizontal="center" vertical="center"/>
    </xf>
    <xf numFmtId="0" fontId="33" fillId="5" borderId="6" xfId="2" applyFont="1" applyFill="1" applyBorder="1" applyAlignment="1" applyProtection="1">
      <alignment horizontal="center" vertical="center"/>
    </xf>
    <xf numFmtId="0" fontId="33" fillId="5" borderId="33" xfId="2" applyFont="1" applyFill="1" applyBorder="1" applyAlignment="1" applyProtection="1">
      <alignment horizontal="center" vertical="center" wrapText="1"/>
    </xf>
    <xf numFmtId="0" fontId="33" fillId="5" borderId="31" xfId="2" applyFont="1" applyFill="1" applyBorder="1" applyAlignment="1" applyProtection="1">
      <alignment horizontal="center" vertical="center" wrapText="1"/>
    </xf>
    <xf numFmtId="0" fontId="33" fillId="5" borderId="6" xfId="2" applyFont="1" applyFill="1" applyBorder="1" applyAlignment="1" applyProtection="1">
      <alignment horizontal="center" vertical="center" wrapText="1"/>
    </xf>
  </cellXfs>
  <cellStyles count="8">
    <cellStyle name="Comma" xfId="5" builtinId="3"/>
    <cellStyle name="Comma 2" xfId="3"/>
    <cellStyle name="Comma 2 2" xfId="6"/>
    <cellStyle name="Comma 3" xfId="7"/>
    <cellStyle name="Normal" xfId="0" builtinId="0"/>
    <cellStyle name="Normal 2" xfId="2"/>
    <cellStyle name="Percent" xfId="1" builtinId="5"/>
    <cellStyle name="Percent 2" xfId="4"/>
  </cellStyles>
  <dxfs count="0"/>
  <tableStyles count="0" defaultTableStyle="TableStyleMedium2" defaultPivotStyle="PivotStyleLight16"/>
  <colors>
    <mruColors>
      <color rgb="FFFCE4EB"/>
      <color rgb="FFCEE1F2"/>
      <color rgb="FFF8CBBE"/>
      <color rgb="FFFCE4C2"/>
      <color rgb="FFFFFFDC"/>
      <color rgb="FFFFFFEC"/>
      <color rgb="FFFFFFC8"/>
      <color rgb="FFFFFFD1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workbookViewId="0">
      <selection activeCell="A16" sqref="A16"/>
    </sheetView>
  </sheetViews>
  <sheetFormatPr defaultRowHeight="15" x14ac:dyDescent="0.25"/>
  <cols>
    <col min="1" max="1" width="111.28515625" customWidth="1"/>
  </cols>
  <sheetData>
    <row r="1" spans="1:1" ht="28.5" x14ac:dyDescent="0.45">
      <c r="A1" s="15" t="s">
        <v>43</v>
      </c>
    </row>
    <row r="2" spans="1:1" x14ac:dyDescent="0.25">
      <c r="A2" s="1"/>
    </row>
    <row r="3" spans="1:1" x14ac:dyDescent="0.25">
      <c r="A3" s="17" t="s">
        <v>44</v>
      </c>
    </row>
    <row r="4" spans="1:1" x14ac:dyDescent="0.25">
      <c r="A4" s="17" t="s">
        <v>45</v>
      </c>
    </row>
    <row r="5" spans="1:1" x14ac:dyDescent="0.25">
      <c r="A5" s="17" t="s">
        <v>46</v>
      </c>
    </row>
    <row r="6" spans="1:1" ht="30" x14ac:dyDescent="0.25">
      <c r="A6" s="17" t="s">
        <v>47</v>
      </c>
    </row>
    <row r="7" spans="1:1" x14ac:dyDescent="0.25">
      <c r="A7" s="17" t="s">
        <v>52</v>
      </c>
    </row>
    <row r="8" spans="1:1" x14ac:dyDescent="0.25">
      <c r="A8" s="17" t="s">
        <v>51</v>
      </c>
    </row>
    <row r="9" spans="1:1" x14ac:dyDescent="0.25">
      <c r="A9" s="17"/>
    </row>
    <row r="14" spans="1:1" ht="15" customHeight="1" x14ac:dyDescent="0.25"/>
    <row r="17" ht="15" customHeight="1" x14ac:dyDescent="0.25"/>
    <row r="18" ht="15" customHeight="1" x14ac:dyDescent="0.25"/>
    <row r="19" ht="1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GridLines="0" topLeftCell="A7" workbookViewId="0">
      <selection activeCell="C30" sqref="C30"/>
    </sheetView>
  </sheetViews>
  <sheetFormatPr defaultRowHeight="15" x14ac:dyDescent="0.25"/>
  <cols>
    <col min="1" max="1" width="25.28515625" style="53" customWidth="1"/>
    <col min="2" max="2" width="35.42578125" customWidth="1"/>
    <col min="3" max="3" width="21.7109375" customWidth="1"/>
    <col min="4" max="4" width="17.5703125" bestFit="1" customWidth="1"/>
    <col min="5" max="5" width="20.5703125" customWidth="1"/>
    <col min="6" max="8" width="17.7109375" customWidth="1"/>
    <col min="9" max="9" width="7.5703125" bestFit="1" customWidth="1"/>
  </cols>
  <sheetData>
    <row r="1" spans="1:5" ht="21" x14ac:dyDescent="0.25">
      <c r="A1" s="18" t="s">
        <v>129</v>
      </c>
      <c r="B1" s="188" t="s">
        <v>164</v>
      </c>
      <c r="C1" s="2"/>
    </row>
    <row r="2" spans="1:5" ht="21" x14ac:dyDescent="0.25">
      <c r="A2" s="18"/>
      <c r="B2" s="21"/>
      <c r="C2" s="14"/>
    </row>
    <row r="3" spans="1:5" x14ac:dyDescent="0.25">
      <c r="A3" s="19" t="s">
        <v>48</v>
      </c>
      <c r="B3" s="175" t="s">
        <v>94</v>
      </c>
      <c r="C3" s="14"/>
    </row>
    <row r="4" spans="1:5" x14ac:dyDescent="0.25">
      <c r="A4" s="20" t="s">
        <v>49</v>
      </c>
      <c r="B4" s="176" t="s">
        <v>93</v>
      </c>
      <c r="C4" s="14"/>
    </row>
    <row r="5" spans="1:5" ht="25.5" x14ac:dyDescent="0.25">
      <c r="A5" s="20" t="s">
        <v>50</v>
      </c>
      <c r="B5" s="22" t="s">
        <v>159</v>
      </c>
      <c r="C5" s="14"/>
    </row>
    <row r="6" spans="1:5" ht="21" x14ac:dyDescent="0.25">
      <c r="A6" s="16"/>
      <c r="B6" s="13"/>
      <c r="C6" s="14"/>
    </row>
    <row r="7" spans="1:5" ht="21" x14ac:dyDescent="0.25">
      <c r="A7" s="287" t="s">
        <v>9</v>
      </c>
      <c r="B7" s="288"/>
      <c r="C7" s="57">
        <v>2018</v>
      </c>
      <c r="D7" s="59">
        <v>2019</v>
      </c>
      <c r="E7" s="60">
        <v>2020</v>
      </c>
    </row>
    <row r="8" spans="1:5" ht="18.75" x14ac:dyDescent="0.25">
      <c r="A8" s="23"/>
      <c r="B8" s="24" t="s">
        <v>128</v>
      </c>
      <c r="C8" s="58">
        <f>SUM(C24+C26+C27+C29+C30)</f>
        <v>542325671</v>
      </c>
      <c r="D8" s="200">
        <f>C8</f>
        <v>542325671</v>
      </c>
      <c r="E8" s="61" t="s">
        <v>184</v>
      </c>
    </row>
    <row r="9" spans="1:5" ht="18.75" x14ac:dyDescent="0.25">
      <c r="A9" s="23"/>
      <c r="B9" s="21" t="s">
        <v>24</v>
      </c>
      <c r="C9" s="279">
        <f>(C24*D24+C26*D26+C27*D27+C29*D29)/C8</f>
        <v>0.83076834472768302</v>
      </c>
      <c r="D9" s="278">
        <f>C9</f>
        <v>0.83076834472768302</v>
      </c>
      <c r="E9" s="61" t="s">
        <v>184</v>
      </c>
    </row>
    <row r="10" spans="1:5" ht="18.75" x14ac:dyDescent="0.25">
      <c r="A10" s="23"/>
      <c r="B10" s="21" t="s">
        <v>25</v>
      </c>
      <c r="C10" s="279">
        <f>(C24*E24+C26*E26+C27*E27+C29*E29+C30*E30)/C8</f>
        <v>0.1267346811617184</v>
      </c>
      <c r="D10" s="278">
        <f>C10</f>
        <v>0.1267346811617184</v>
      </c>
      <c r="E10" s="61" t="s">
        <v>184</v>
      </c>
    </row>
    <row r="11" spans="1:5" ht="18.75" x14ac:dyDescent="0.25">
      <c r="A11" s="13"/>
      <c r="B11" s="8"/>
      <c r="C11" s="8"/>
    </row>
    <row r="12" spans="1:5" ht="39" customHeight="1" x14ac:dyDescent="0.25">
      <c r="A12" s="289" t="s">
        <v>32</v>
      </c>
      <c r="B12" s="290"/>
      <c r="C12" s="62" t="s">
        <v>182</v>
      </c>
      <c r="D12" s="65" t="s">
        <v>183</v>
      </c>
      <c r="E12" s="60">
        <v>2020</v>
      </c>
    </row>
    <row r="13" spans="1:5" ht="15.75" x14ac:dyDescent="0.25">
      <c r="A13" s="52" t="s">
        <v>27</v>
      </c>
      <c r="B13" s="26">
        <f>ROUND(SUM(B14:B18),-3)</f>
        <v>2243000</v>
      </c>
      <c r="C13" s="63">
        <f>ROUND(SUM(C14:C18),-3)</f>
        <v>1354000</v>
      </c>
      <c r="D13" s="66">
        <f>ROUND(SUM(D14:D18),-3)</f>
        <v>1354000</v>
      </c>
      <c r="E13" s="68" t="s">
        <v>184</v>
      </c>
    </row>
    <row r="14" spans="1:5" x14ac:dyDescent="0.25">
      <c r="A14" s="21" t="s">
        <v>31</v>
      </c>
      <c r="B14" s="25">
        <f>PIN!C5</f>
        <v>1500000</v>
      </c>
      <c r="C14" s="64">
        <f>PIN!D5</f>
        <v>1140000</v>
      </c>
      <c r="D14" s="67">
        <f>C14</f>
        <v>1140000</v>
      </c>
      <c r="E14" s="61" t="s">
        <v>184</v>
      </c>
    </row>
    <row r="15" spans="1:5" x14ac:dyDescent="0.25">
      <c r="A15" s="21" t="s">
        <v>30</v>
      </c>
      <c r="B15" s="173">
        <f>PIN!C4</f>
        <v>528574</v>
      </c>
      <c r="C15" s="174">
        <f>PIN!D4</f>
        <v>176500</v>
      </c>
      <c r="D15" s="67">
        <f>C15</f>
        <v>176500</v>
      </c>
      <c r="E15" s="61" t="s">
        <v>184</v>
      </c>
    </row>
    <row r="16" spans="1:5" x14ac:dyDescent="0.25">
      <c r="A16" s="21" t="s">
        <v>29</v>
      </c>
      <c r="B16" s="25">
        <f>PIN!C6</f>
        <v>34000</v>
      </c>
      <c r="C16" s="64">
        <f>PIN!D6</f>
        <v>34000</v>
      </c>
      <c r="D16" s="67">
        <f>C16</f>
        <v>34000</v>
      </c>
      <c r="E16" s="61" t="s">
        <v>184</v>
      </c>
    </row>
    <row r="17" spans="1:8" x14ac:dyDescent="0.25">
      <c r="A17" s="21" t="s">
        <v>28</v>
      </c>
      <c r="B17" s="25">
        <f>PIN!C7</f>
        <v>180690</v>
      </c>
      <c r="C17" s="64">
        <f>PIN!D7</f>
        <v>3200</v>
      </c>
      <c r="D17" s="67">
        <f>C17</f>
        <v>3200</v>
      </c>
      <c r="E17" s="61" t="s">
        <v>184</v>
      </c>
    </row>
    <row r="18" spans="1:8" x14ac:dyDescent="0.25">
      <c r="A18" s="21" t="s">
        <v>41</v>
      </c>
      <c r="B18" s="245" t="s">
        <v>167</v>
      </c>
      <c r="C18" s="64">
        <v>0</v>
      </c>
      <c r="D18" s="67">
        <v>0</v>
      </c>
      <c r="E18" s="61" t="s">
        <v>184</v>
      </c>
    </row>
    <row r="19" spans="1:8" ht="15.75" x14ac:dyDescent="0.25">
      <c r="A19" s="5"/>
      <c r="B19" s="4"/>
    </row>
    <row r="20" spans="1:8" ht="15.75" x14ac:dyDescent="0.25">
      <c r="A20" s="5"/>
      <c r="B20" s="4"/>
    </row>
    <row r="21" spans="1:8" ht="15.6" customHeight="1" x14ac:dyDescent="0.25">
      <c r="A21" s="293" t="s">
        <v>34</v>
      </c>
      <c r="B21" s="291" t="s">
        <v>35</v>
      </c>
      <c r="C21" s="296">
        <v>2018</v>
      </c>
      <c r="D21" s="296"/>
      <c r="E21" s="297"/>
      <c r="F21" s="298">
        <v>2019</v>
      </c>
      <c r="G21" s="298"/>
      <c r="H21" s="298"/>
    </row>
    <row r="22" spans="1:8" x14ac:dyDescent="0.25">
      <c r="A22" s="294"/>
      <c r="B22" s="292"/>
      <c r="C22" s="31" t="s">
        <v>9</v>
      </c>
      <c r="D22" s="31" t="s">
        <v>24</v>
      </c>
      <c r="E22" s="55" t="s">
        <v>25</v>
      </c>
      <c r="F22" s="31" t="s">
        <v>42</v>
      </c>
      <c r="G22" s="31" t="s">
        <v>24</v>
      </c>
      <c r="H22" s="31" t="s">
        <v>25</v>
      </c>
    </row>
    <row r="23" spans="1:8" ht="36" customHeight="1" x14ac:dyDescent="0.25">
      <c r="A23" s="299" t="s">
        <v>207</v>
      </c>
      <c r="B23" s="299"/>
      <c r="C23" s="299"/>
      <c r="D23" s="299"/>
      <c r="E23" s="299"/>
      <c r="F23" s="299"/>
      <c r="G23" s="299"/>
      <c r="H23" s="299"/>
    </row>
    <row r="24" spans="1:8" ht="30.75" customHeight="1" x14ac:dyDescent="0.25">
      <c r="A24" s="295" t="s">
        <v>208</v>
      </c>
      <c r="B24" s="295"/>
      <c r="C24" s="27">
        <f>'Outcome 1'!C10</f>
        <v>347600000</v>
      </c>
      <c r="D24" s="28">
        <f>'Outcome 1'!C11</f>
        <v>0.82</v>
      </c>
      <c r="E24" s="56">
        <f>'Outcome 1'!C12</f>
        <v>0.11814959723820484</v>
      </c>
      <c r="F24" s="54">
        <f>'Outcome 1'!D10</f>
        <v>347600000</v>
      </c>
      <c r="G24" s="30">
        <f>D24</f>
        <v>0.82</v>
      </c>
      <c r="H24" s="30">
        <f>E24</f>
        <v>0.11814959723820484</v>
      </c>
    </row>
    <row r="25" spans="1:8" ht="31.5" customHeight="1" x14ac:dyDescent="0.25">
      <c r="A25" s="300" t="s">
        <v>209</v>
      </c>
      <c r="B25" s="300"/>
      <c r="C25" s="300"/>
      <c r="D25" s="300"/>
      <c r="E25" s="300"/>
      <c r="F25" s="300"/>
      <c r="G25" s="300"/>
      <c r="H25" s="300"/>
    </row>
    <row r="26" spans="1:8" ht="27.75" customHeight="1" x14ac:dyDescent="0.25">
      <c r="A26" s="295" t="s">
        <v>210</v>
      </c>
      <c r="B26" s="295"/>
      <c r="C26" s="27">
        <f>'Outcome 2'!C10</f>
        <v>177500000</v>
      </c>
      <c r="D26" s="29">
        <f>'Outcome 2'!C11</f>
        <v>0.89</v>
      </c>
      <c r="E26" s="56">
        <f>'Outcome 2'!C12</f>
        <v>0.11338028169014085</v>
      </c>
      <c r="F26" s="54">
        <f t="shared" ref="F26:H27" si="0">C26</f>
        <v>177500000</v>
      </c>
      <c r="G26" s="30">
        <f t="shared" si="0"/>
        <v>0.89</v>
      </c>
      <c r="H26" s="30">
        <f t="shared" si="0"/>
        <v>0.11338028169014085</v>
      </c>
    </row>
    <row r="27" spans="1:8" ht="30.75" customHeight="1" x14ac:dyDescent="0.25">
      <c r="A27" s="295" t="s">
        <v>211</v>
      </c>
      <c r="B27" s="295"/>
      <c r="C27" s="27">
        <f>'Outcome 2'!C30</f>
        <v>14500000</v>
      </c>
      <c r="D27" s="29">
        <f>'Outcome 2'!C31</f>
        <v>0.52</v>
      </c>
      <c r="E27" s="56">
        <f>'Outcome 2'!C32</f>
        <v>0.33186206896551723</v>
      </c>
      <c r="F27" s="54">
        <f t="shared" si="0"/>
        <v>14500000</v>
      </c>
      <c r="G27" s="30">
        <f t="shared" si="0"/>
        <v>0.52</v>
      </c>
      <c r="H27" s="30">
        <f t="shared" si="0"/>
        <v>0.33186206896551723</v>
      </c>
    </row>
    <row r="28" spans="1:8" ht="33.75" customHeight="1" x14ac:dyDescent="0.25">
      <c r="A28" s="300" t="s">
        <v>219</v>
      </c>
      <c r="B28" s="300"/>
      <c r="C28" s="300"/>
      <c r="D28" s="300"/>
      <c r="E28" s="300"/>
      <c r="F28" s="300"/>
      <c r="G28" s="300"/>
      <c r="H28" s="300"/>
    </row>
    <row r="29" spans="1:8" ht="15" customHeight="1" x14ac:dyDescent="0.25">
      <c r="A29" s="286" t="s">
        <v>212</v>
      </c>
      <c r="B29" s="286"/>
      <c r="C29" s="27">
        <f>'Outcome  3'!C10</f>
        <v>130000</v>
      </c>
      <c r="D29" s="29">
        <f>'Outcome  3'!C11</f>
        <v>0</v>
      </c>
      <c r="E29" s="56">
        <f>'Outcome  3'!C12</f>
        <v>1</v>
      </c>
      <c r="F29" s="54">
        <f t="shared" ref="F29:H30" si="1">C29</f>
        <v>130000</v>
      </c>
      <c r="G29" s="30">
        <f t="shared" si="1"/>
        <v>0</v>
      </c>
      <c r="H29" s="30">
        <f t="shared" si="1"/>
        <v>1</v>
      </c>
    </row>
    <row r="30" spans="1:8" ht="15" customHeight="1" x14ac:dyDescent="0.25">
      <c r="A30" s="286" t="s">
        <v>213</v>
      </c>
      <c r="B30" s="286"/>
      <c r="C30" s="27">
        <f>'Outcome  3'!C28</f>
        <v>2595671</v>
      </c>
      <c r="D30" s="29">
        <v>0</v>
      </c>
      <c r="E30" s="56">
        <v>1</v>
      </c>
      <c r="F30" s="54">
        <f t="shared" si="1"/>
        <v>2595671</v>
      </c>
      <c r="G30" s="30">
        <f t="shared" si="1"/>
        <v>0</v>
      </c>
      <c r="H30" s="30">
        <f t="shared" si="1"/>
        <v>1</v>
      </c>
    </row>
  </sheetData>
  <mergeCells count="14">
    <mergeCell ref="C21:E21"/>
    <mergeCell ref="F21:H21"/>
    <mergeCell ref="A23:H23"/>
    <mergeCell ref="A25:H25"/>
    <mergeCell ref="A28:H28"/>
    <mergeCell ref="A24:B24"/>
    <mergeCell ref="A30:B30"/>
    <mergeCell ref="A7:B7"/>
    <mergeCell ref="A12:B12"/>
    <mergeCell ref="B21:B22"/>
    <mergeCell ref="A21:A22"/>
    <mergeCell ref="A26:B26"/>
    <mergeCell ref="A27:B27"/>
    <mergeCell ref="A29:B29"/>
  </mergeCells>
  <pageMargins left="0.7" right="0.7" top="0.75" bottom="0.75" header="0.3" footer="0.3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X29"/>
  <sheetViews>
    <sheetView showGridLines="0" zoomScale="85" zoomScaleNormal="85" workbookViewId="0">
      <selection activeCell="K24" sqref="K24"/>
    </sheetView>
  </sheetViews>
  <sheetFormatPr defaultColWidth="9.28515625" defaultRowHeight="15" outlineLevelRow="1" x14ac:dyDescent="0.25"/>
  <cols>
    <col min="1" max="1" width="11.28515625" customWidth="1"/>
    <col min="2" max="2" width="31" customWidth="1"/>
    <col min="3" max="3" width="37" customWidth="1"/>
    <col min="4" max="4" width="36.28515625" customWidth="1"/>
    <col min="5" max="5" width="12" bestFit="1" customWidth="1"/>
    <col min="6" max="6" width="8.7109375" customWidth="1"/>
    <col min="7" max="7" width="13.7109375" bestFit="1" customWidth="1"/>
    <col min="8" max="10" width="13.42578125" bestFit="1" customWidth="1"/>
    <col min="11" max="11" width="7.28515625" customWidth="1"/>
    <col min="12" max="12" width="8.5703125" bestFit="1" customWidth="1"/>
    <col min="13" max="13" width="9.7109375" bestFit="1" customWidth="1"/>
    <col min="14" max="14" width="9.28515625" bestFit="1" customWidth="1"/>
    <col min="15" max="15" width="7.42578125" bestFit="1" customWidth="1"/>
    <col min="16" max="16" width="8.5703125" customWidth="1"/>
    <col min="17" max="17" width="10.28515625" customWidth="1"/>
    <col min="18" max="18" width="8.5703125" customWidth="1"/>
    <col min="19" max="19" width="8.42578125" customWidth="1"/>
    <col min="20" max="20" width="8.7109375" customWidth="1"/>
    <col min="21" max="21" width="7.28515625" customWidth="1"/>
    <col min="22" max="22" width="9" customWidth="1"/>
    <col min="23" max="23" width="8.42578125" customWidth="1"/>
    <col min="24" max="27" width="8" customWidth="1"/>
    <col min="28" max="28" width="12.28515625" bestFit="1" customWidth="1"/>
    <col min="29" max="45" width="8" customWidth="1"/>
    <col min="50" max="50" width="10.7109375" bestFit="1" customWidth="1"/>
    <col min="55" max="55" width="9.7109375" bestFit="1" customWidth="1"/>
    <col min="60" max="60" width="9.7109375" bestFit="1" customWidth="1"/>
  </cols>
  <sheetData>
    <row r="1" spans="1:69" ht="59.25" customHeight="1" x14ac:dyDescent="0.25">
      <c r="A1" s="328" t="s">
        <v>207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53"/>
      <c r="BJ1" s="53"/>
      <c r="BK1" s="53"/>
      <c r="BL1" s="53"/>
    </row>
    <row r="2" spans="1:69" ht="25.15" customHeight="1" x14ac:dyDescent="0.25">
      <c r="A2" s="330" t="s">
        <v>2</v>
      </c>
      <c r="B2" s="330"/>
      <c r="C2" s="330"/>
      <c r="D2" s="330"/>
      <c r="E2" s="330"/>
      <c r="F2" s="330"/>
      <c r="G2" s="330"/>
      <c r="H2" s="331" t="s">
        <v>4</v>
      </c>
      <c r="I2" s="332"/>
      <c r="J2" s="332"/>
      <c r="K2" s="333"/>
      <c r="L2" s="334" t="s">
        <v>29</v>
      </c>
      <c r="M2" s="335"/>
      <c r="N2" s="335"/>
      <c r="O2" s="336"/>
      <c r="P2" s="331" t="s">
        <v>28</v>
      </c>
      <c r="Q2" s="332"/>
      <c r="R2" s="332"/>
      <c r="S2" s="333"/>
      <c r="T2" s="337" t="s">
        <v>5</v>
      </c>
      <c r="U2" s="335"/>
      <c r="V2" s="335"/>
      <c r="W2" s="338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</row>
    <row r="3" spans="1:69" ht="33" customHeight="1" thickBot="1" x14ac:dyDescent="0.3">
      <c r="A3" s="79" t="s">
        <v>6</v>
      </c>
      <c r="B3" s="37" t="s">
        <v>7</v>
      </c>
      <c r="C3" s="37" t="s">
        <v>3</v>
      </c>
      <c r="D3" s="311" t="s">
        <v>33</v>
      </c>
      <c r="E3" s="312"/>
      <c r="F3" s="38" t="s">
        <v>10</v>
      </c>
      <c r="G3" s="88" t="s">
        <v>0</v>
      </c>
      <c r="H3" s="93" t="s">
        <v>1</v>
      </c>
      <c r="I3" s="34" t="s">
        <v>36</v>
      </c>
      <c r="J3" s="47" t="s">
        <v>175</v>
      </c>
      <c r="K3" s="92" t="s">
        <v>53</v>
      </c>
      <c r="L3" s="91" t="s">
        <v>1</v>
      </c>
      <c r="M3" s="34" t="s">
        <v>36</v>
      </c>
      <c r="N3" s="47" t="s">
        <v>175</v>
      </c>
      <c r="O3" s="92" t="s">
        <v>53</v>
      </c>
      <c r="P3" s="93" t="s">
        <v>1</v>
      </c>
      <c r="Q3" s="34" t="s">
        <v>36</v>
      </c>
      <c r="R3" s="47" t="s">
        <v>175</v>
      </c>
      <c r="S3" s="92" t="s">
        <v>53</v>
      </c>
      <c r="T3" s="93" t="s">
        <v>1</v>
      </c>
      <c r="U3" s="34" t="s">
        <v>36</v>
      </c>
      <c r="V3" s="47" t="s">
        <v>175</v>
      </c>
      <c r="W3" s="92" t="s">
        <v>53</v>
      </c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</row>
    <row r="4" spans="1:69" s="1" customFormat="1" ht="190.5" customHeight="1" x14ac:dyDescent="0.25">
      <c r="A4" s="80" t="s">
        <v>18</v>
      </c>
      <c r="B4" s="9" t="s">
        <v>173</v>
      </c>
      <c r="C4" s="9" t="s">
        <v>174</v>
      </c>
      <c r="D4" s="313" t="s">
        <v>203</v>
      </c>
      <c r="E4" s="314"/>
      <c r="F4" s="9" t="s">
        <v>62</v>
      </c>
      <c r="G4" s="89" t="s">
        <v>57</v>
      </c>
      <c r="H4" s="123">
        <v>0.57999999999999996</v>
      </c>
      <c r="I4" s="133">
        <v>0.55000000000000004</v>
      </c>
      <c r="J4" s="124">
        <v>0.53</v>
      </c>
      <c r="K4" s="134">
        <v>0.5</v>
      </c>
      <c r="L4" s="125">
        <v>0.89</v>
      </c>
      <c r="M4" s="189">
        <v>0.89</v>
      </c>
      <c r="N4" s="190">
        <v>0.89</v>
      </c>
      <c r="O4" s="191">
        <v>0.89</v>
      </c>
      <c r="P4" s="192">
        <v>0.65</v>
      </c>
      <c r="Q4" s="189">
        <v>0.65</v>
      </c>
      <c r="R4" s="190">
        <v>0.65</v>
      </c>
      <c r="S4" s="193">
        <v>0.65</v>
      </c>
      <c r="T4" s="192">
        <v>0.1</v>
      </c>
      <c r="U4" s="194">
        <v>0.1</v>
      </c>
      <c r="V4" s="190">
        <v>0.1</v>
      </c>
      <c r="W4" s="195">
        <v>0.1</v>
      </c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9" s="1" customFormat="1" ht="169.5" customHeight="1" x14ac:dyDescent="0.25">
      <c r="A5" s="81" t="s">
        <v>19</v>
      </c>
      <c r="B5" s="10" t="s">
        <v>76</v>
      </c>
      <c r="C5" s="10" t="s">
        <v>63</v>
      </c>
      <c r="D5" s="301" t="s">
        <v>121</v>
      </c>
      <c r="E5" s="302"/>
      <c r="F5" s="11" t="s">
        <v>62</v>
      </c>
      <c r="G5" s="90" t="s">
        <v>57</v>
      </c>
      <c r="H5" s="123">
        <v>0.9</v>
      </c>
      <c r="I5" s="127">
        <v>0.9</v>
      </c>
      <c r="J5" s="128">
        <v>0.9</v>
      </c>
      <c r="K5" s="129">
        <v>0.9</v>
      </c>
      <c r="L5" s="123">
        <v>0.9</v>
      </c>
      <c r="M5" s="127">
        <v>0.9</v>
      </c>
      <c r="N5" s="128">
        <v>0.9</v>
      </c>
      <c r="O5" s="129">
        <v>0.9</v>
      </c>
      <c r="P5" s="126" t="s">
        <v>86</v>
      </c>
      <c r="Q5" s="130" t="s">
        <v>86</v>
      </c>
      <c r="R5" s="131" t="s">
        <v>86</v>
      </c>
      <c r="S5" s="132" t="s">
        <v>86</v>
      </c>
      <c r="T5" s="126" t="s">
        <v>86</v>
      </c>
      <c r="U5" s="130" t="s">
        <v>86</v>
      </c>
      <c r="V5" s="131" t="s">
        <v>86</v>
      </c>
      <c r="W5" s="132" t="s">
        <v>86</v>
      </c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9" s="1" customFormat="1" x14ac:dyDescent="0.25">
      <c r="A6" s="7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</row>
    <row r="7" spans="1:69" s="1" customFormat="1" ht="43.5" customHeight="1" x14ac:dyDescent="0.35">
      <c r="A7" s="326" t="s">
        <v>214</v>
      </c>
      <c r="B7" s="326"/>
      <c r="C7" s="326"/>
      <c r="D7" s="326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4"/>
      <c r="Q7" s="84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"/>
      <c r="BJ7" s="7"/>
      <c r="BK7" s="7"/>
      <c r="BL7" s="7"/>
    </row>
    <row r="8" spans="1:69" s="12" customFormat="1" ht="27.75" customHeight="1" x14ac:dyDescent="0.35">
      <c r="A8" s="85"/>
      <c r="B8" s="85"/>
      <c r="C8" s="85"/>
      <c r="D8" s="85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</row>
    <row r="9" spans="1:69" s="1" customFormat="1" ht="29.25" customHeight="1" outlineLevel="1" thickBot="1" x14ac:dyDescent="0.4">
      <c r="A9" s="53"/>
      <c r="B9" s="94" t="s">
        <v>9</v>
      </c>
      <c r="C9" s="95" t="s">
        <v>176</v>
      </c>
      <c r="D9" s="96">
        <v>2019</v>
      </c>
      <c r="E9" s="97">
        <v>2020</v>
      </c>
      <c r="F9" s="78"/>
      <c r="G9" s="78"/>
      <c r="H9" s="78">
        <v>8317499</v>
      </c>
      <c r="I9" s="78">
        <f>H9-544511</f>
        <v>7772988</v>
      </c>
      <c r="J9" s="78"/>
      <c r="K9" s="78"/>
      <c r="L9" s="78"/>
      <c r="M9" s="78"/>
      <c r="N9" s="7"/>
      <c r="O9" s="7"/>
      <c r="P9" s="7"/>
      <c r="Q9" s="327"/>
      <c r="R9" s="327"/>
      <c r="S9" s="327"/>
      <c r="T9" s="327"/>
      <c r="U9" s="327"/>
      <c r="V9" s="32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</row>
    <row r="10" spans="1:69" s="1" customFormat="1" ht="23.65" customHeight="1" outlineLevel="1" x14ac:dyDescent="0.35">
      <c r="A10" s="7"/>
      <c r="B10" s="98" t="s">
        <v>26</v>
      </c>
      <c r="C10" s="99">
        <f>ROUND(271188000 +10200*12*186+ 41068800 +1438826+30000*30+10200*20*3+500*12*186+500*30+8503833,-5)</f>
        <v>347600000</v>
      </c>
      <c r="D10" s="100">
        <f>C10</f>
        <v>347600000</v>
      </c>
      <c r="E10" s="101" t="s">
        <v>181</v>
      </c>
      <c r="F10" s="78"/>
      <c r="G10" s="78"/>
      <c r="H10" s="78"/>
      <c r="I10" s="78"/>
      <c r="J10" s="78"/>
      <c r="K10" s="146"/>
      <c r="L10" s="78"/>
      <c r="M10" s="78"/>
      <c r="N10" s="7"/>
      <c r="O10" s="7"/>
      <c r="P10" s="51"/>
      <c r="Q10" s="51"/>
      <c r="R10" s="51"/>
      <c r="S10" s="51"/>
      <c r="T10" s="51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</row>
    <row r="11" spans="1:69" s="1" customFormat="1" ht="23.65" customHeight="1" outlineLevel="1" x14ac:dyDescent="0.35">
      <c r="A11" s="53"/>
      <c r="B11" s="102" t="s">
        <v>24</v>
      </c>
      <c r="C11" s="274">
        <v>0.82</v>
      </c>
      <c r="D11" s="104">
        <f>C11</f>
        <v>0.82</v>
      </c>
      <c r="E11" s="101" t="s">
        <v>181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"/>
      <c r="R11" s="7"/>
      <c r="S11" s="7"/>
      <c r="T11" s="51"/>
      <c r="U11" s="51"/>
      <c r="V11" s="51"/>
      <c r="W11" s="51"/>
      <c r="X11" s="51"/>
      <c r="Y11" s="51"/>
      <c r="Z11" s="51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</row>
    <row r="12" spans="1:69" s="1" customFormat="1" ht="23.65" customHeight="1" outlineLevel="1" x14ac:dyDescent="0.35">
      <c r="A12" s="53"/>
      <c r="B12" s="102" t="s">
        <v>25</v>
      </c>
      <c r="C12" s="274">
        <f>41068800/C10</f>
        <v>0.11814959723820484</v>
      </c>
      <c r="D12" s="104">
        <f>C12</f>
        <v>0.11814959723820484</v>
      </c>
      <c r="E12" s="101" t="s">
        <v>181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"/>
      <c r="R12" s="7"/>
      <c r="S12" s="7"/>
      <c r="T12" s="51"/>
      <c r="U12" s="51"/>
      <c r="V12" s="51"/>
      <c r="W12" s="51"/>
      <c r="X12" s="51"/>
      <c r="Y12" s="51"/>
      <c r="Z12" s="51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9" s="1" customFormat="1" ht="19.5" customHeight="1" outlineLevel="1" x14ac:dyDescent="0.35">
      <c r="A13" s="53"/>
      <c r="B13" s="3"/>
      <c r="C13" s="3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"/>
      <c r="W13" s="7"/>
      <c r="X13" s="7"/>
      <c r="Y13" s="7"/>
      <c r="Z13" s="7"/>
      <c r="AA13" s="7"/>
      <c r="AB13" s="7"/>
      <c r="AC13" s="87" t="s">
        <v>188</v>
      </c>
      <c r="AD13" s="6"/>
      <c r="AE13" s="6"/>
      <c r="AF13" s="6"/>
      <c r="AG13" s="6"/>
      <c r="AH13" s="6"/>
      <c r="AI13" s="6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</row>
    <row r="14" spans="1:69" ht="21" outlineLevel="1" x14ac:dyDescent="0.35">
      <c r="A14" s="321" t="s">
        <v>54</v>
      </c>
      <c r="B14" s="321"/>
      <c r="C14" s="321"/>
      <c r="D14" s="321"/>
      <c r="E14" s="321"/>
      <c r="F14" s="321"/>
      <c r="G14" s="322"/>
      <c r="H14" s="318" t="s">
        <v>1</v>
      </c>
      <c r="I14" s="319"/>
      <c r="J14" s="319"/>
      <c r="K14" s="319"/>
      <c r="L14" s="320"/>
      <c r="M14" s="323" t="s">
        <v>177</v>
      </c>
      <c r="N14" s="324"/>
      <c r="O14" s="324"/>
      <c r="P14" s="324"/>
      <c r="Q14" s="325"/>
      <c r="R14" s="315" t="s">
        <v>178</v>
      </c>
      <c r="S14" s="316"/>
      <c r="T14" s="316"/>
      <c r="U14" s="316"/>
      <c r="V14" s="317"/>
      <c r="W14" s="53"/>
      <c r="X14" s="53"/>
      <c r="Y14" s="53"/>
      <c r="Z14" s="53"/>
      <c r="AA14" s="53"/>
      <c r="AB14" s="53"/>
      <c r="AC14" s="53"/>
      <c r="AD14" s="308" t="s">
        <v>11</v>
      </c>
      <c r="AE14" s="309"/>
      <c r="AF14" s="309"/>
      <c r="AG14" s="309"/>
      <c r="AH14" s="310"/>
      <c r="AI14" s="308" t="s">
        <v>16</v>
      </c>
      <c r="AJ14" s="309"/>
      <c r="AK14" s="309"/>
      <c r="AL14" s="309"/>
      <c r="AM14" s="310"/>
      <c r="AN14" s="308" t="s">
        <v>23</v>
      </c>
      <c r="AO14" s="309"/>
      <c r="AP14" s="309"/>
      <c r="AQ14" s="309"/>
      <c r="AR14" s="310"/>
      <c r="AS14" s="308" t="s">
        <v>13</v>
      </c>
      <c r="AT14" s="309"/>
      <c r="AU14" s="309"/>
      <c r="AV14" s="309"/>
      <c r="AW14" s="310"/>
      <c r="AX14" s="308" t="s">
        <v>14</v>
      </c>
      <c r="AY14" s="309"/>
      <c r="AZ14" s="309"/>
      <c r="BA14" s="309"/>
      <c r="BB14" s="310"/>
      <c r="BC14" s="308" t="s">
        <v>12</v>
      </c>
      <c r="BD14" s="309"/>
      <c r="BE14" s="309"/>
      <c r="BF14" s="309"/>
      <c r="BG14" s="310"/>
      <c r="BH14" s="308" t="s">
        <v>17</v>
      </c>
      <c r="BI14" s="309"/>
      <c r="BJ14" s="309"/>
      <c r="BK14" s="309"/>
      <c r="BL14" s="310"/>
      <c r="BM14" s="308" t="s">
        <v>15</v>
      </c>
      <c r="BN14" s="309"/>
      <c r="BO14" s="309"/>
      <c r="BP14" s="309"/>
      <c r="BQ14" s="310"/>
    </row>
    <row r="15" spans="1:69" ht="29.65" customHeight="1" outlineLevel="1" thickBot="1" x14ac:dyDescent="0.3">
      <c r="A15" s="79" t="s">
        <v>6</v>
      </c>
      <c r="B15" s="37" t="s">
        <v>8</v>
      </c>
      <c r="C15" s="37" t="s">
        <v>3</v>
      </c>
      <c r="D15" s="311" t="s">
        <v>55</v>
      </c>
      <c r="E15" s="312"/>
      <c r="F15" s="38" t="s">
        <v>10</v>
      </c>
      <c r="G15" s="38" t="s">
        <v>0</v>
      </c>
      <c r="H15" s="38" t="s">
        <v>21</v>
      </c>
      <c r="I15" s="38" t="s">
        <v>29</v>
      </c>
      <c r="J15" s="38" t="s">
        <v>28</v>
      </c>
      <c r="K15" s="38" t="s">
        <v>22</v>
      </c>
      <c r="L15" s="38" t="s">
        <v>39</v>
      </c>
      <c r="M15" s="33" t="s">
        <v>21</v>
      </c>
      <c r="N15" s="32" t="s">
        <v>29</v>
      </c>
      <c r="O15" s="33" t="s">
        <v>28</v>
      </c>
      <c r="P15" s="32" t="s">
        <v>22</v>
      </c>
      <c r="Q15" s="33" t="s">
        <v>39</v>
      </c>
      <c r="R15" s="41" t="s">
        <v>21</v>
      </c>
      <c r="S15" s="44" t="s">
        <v>29</v>
      </c>
      <c r="T15" s="41" t="s">
        <v>28</v>
      </c>
      <c r="U15" s="44" t="s">
        <v>22</v>
      </c>
      <c r="V15" s="41" t="s">
        <v>39</v>
      </c>
      <c r="W15" s="53"/>
      <c r="X15" s="53"/>
      <c r="Y15" s="53"/>
      <c r="Z15" s="53"/>
      <c r="AA15" s="53"/>
      <c r="AB15" s="53"/>
      <c r="AC15" s="53"/>
      <c r="AD15" s="72" t="s">
        <v>21</v>
      </c>
      <c r="AE15" s="48" t="s">
        <v>29</v>
      </c>
      <c r="AF15" s="48" t="s">
        <v>28</v>
      </c>
      <c r="AG15" s="48" t="s">
        <v>22</v>
      </c>
      <c r="AH15" s="69" t="s">
        <v>39</v>
      </c>
      <c r="AI15" s="72" t="s">
        <v>21</v>
      </c>
      <c r="AJ15" s="48" t="s">
        <v>29</v>
      </c>
      <c r="AK15" s="48" t="s">
        <v>28</v>
      </c>
      <c r="AL15" s="48" t="s">
        <v>22</v>
      </c>
      <c r="AM15" s="69" t="s">
        <v>39</v>
      </c>
      <c r="AN15" s="72" t="s">
        <v>21</v>
      </c>
      <c r="AO15" s="48" t="s">
        <v>29</v>
      </c>
      <c r="AP15" s="48" t="s">
        <v>28</v>
      </c>
      <c r="AQ15" s="48" t="s">
        <v>22</v>
      </c>
      <c r="AR15" s="69" t="s">
        <v>39</v>
      </c>
      <c r="AS15" s="72" t="s">
        <v>21</v>
      </c>
      <c r="AT15" s="48" t="s">
        <v>29</v>
      </c>
      <c r="AU15" s="48" t="s">
        <v>28</v>
      </c>
      <c r="AV15" s="48" t="s">
        <v>22</v>
      </c>
      <c r="AW15" s="69" t="s">
        <v>39</v>
      </c>
      <c r="AX15" s="72" t="s">
        <v>21</v>
      </c>
      <c r="AY15" s="48" t="s">
        <v>29</v>
      </c>
      <c r="AZ15" s="48" t="s">
        <v>28</v>
      </c>
      <c r="BA15" s="48" t="s">
        <v>22</v>
      </c>
      <c r="BB15" s="69" t="s">
        <v>39</v>
      </c>
      <c r="BC15" s="72" t="s">
        <v>21</v>
      </c>
      <c r="BD15" s="48" t="s">
        <v>29</v>
      </c>
      <c r="BE15" s="48" t="s">
        <v>28</v>
      </c>
      <c r="BF15" s="48" t="s">
        <v>22</v>
      </c>
      <c r="BG15" s="69" t="s">
        <v>39</v>
      </c>
      <c r="BH15" s="72" t="s">
        <v>21</v>
      </c>
      <c r="BI15" s="48" t="s">
        <v>29</v>
      </c>
      <c r="BJ15" s="48" t="s">
        <v>28</v>
      </c>
      <c r="BK15" s="48" t="s">
        <v>22</v>
      </c>
      <c r="BL15" s="69" t="s">
        <v>39</v>
      </c>
      <c r="BM15" s="72" t="s">
        <v>21</v>
      </c>
      <c r="BN15" s="48" t="s">
        <v>29</v>
      </c>
      <c r="BO15" s="48" t="s">
        <v>28</v>
      </c>
      <c r="BP15" s="48" t="s">
        <v>22</v>
      </c>
      <c r="BQ15" s="69" t="s">
        <v>39</v>
      </c>
    </row>
    <row r="16" spans="1:69" ht="50.25" customHeight="1" outlineLevel="1" x14ac:dyDescent="0.25">
      <c r="A16" s="80" t="s">
        <v>18</v>
      </c>
      <c r="B16" s="9" t="s">
        <v>122</v>
      </c>
      <c r="C16" s="9" t="s">
        <v>204</v>
      </c>
      <c r="D16" s="313" t="s">
        <v>59</v>
      </c>
      <c r="E16" s="314"/>
      <c r="F16" s="9" t="s">
        <v>58</v>
      </c>
      <c r="G16" s="9" t="s">
        <v>64</v>
      </c>
      <c r="H16" s="185">
        <v>50000</v>
      </c>
      <c r="I16" s="185">
        <v>9500</v>
      </c>
      <c r="J16" s="9" t="s">
        <v>86</v>
      </c>
      <c r="K16" s="185">
        <v>1800</v>
      </c>
      <c r="L16" s="9" t="s">
        <v>86</v>
      </c>
      <c r="M16" s="39">
        <v>193000</v>
      </c>
      <c r="N16" s="142">
        <v>10200</v>
      </c>
      <c r="O16" s="141" t="s">
        <v>86</v>
      </c>
      <c r="P16" s="142">
        <f>35000+500</f>
        <v>35500</v>
      </c>
      <c r="Q16" s="141" t="s">
        <v>86</v>
      </c>
      <c r="R16" s="42">
        <v>193000</v>
      </c>
      <c r="S16" s="143">
        <v>10200</v>
      </c>
      <c r="T16" s="144" t="s">
        <v>86</v>
      </c>
      <c r="U16" s="145">
        <v>35500</v>
      </c>
      <c r="V16" s="144" t="s">
        <v>86</v>
      </c>
      <c r="W16" s="53"/>
      <c r="X16" s="53"/>
      <c r="Y16" s="53"/>
      <c r="Z16" s="53"/>
      <c r="AA16" s="53"/>
      <c r="AB16" s="53"/>
      <c r="AC16" s="74" t="s">
        <v>18</v>
      </c>
      <c r="AD16" s="147">
        <v>20411.693993383808</v>
      </c>
      <c r="AE16" s="148">
        <v>580.53456923369947</v>
      </c>
      <c r="AF16" s="148" t="s">
        <v>86</v>
      </c>
      <c r="AG16" s="148">
        <f>5950+191</f>
        <v>6141</v>
      </c>
      <c r="AH16" s="149" t="s">
        <v>86</v>
      </c>
      <c r="AI16" s="147">
        <v>24422.458777403757</v>
      </c>
      <c r="AJ16" s="148">
        <v>810.51996698622304</v>
      </c>
      <c r="AK16" s="148" t="s">
        <v>86</v>
      </c>
      <c r="AL16" s="148">
        <f>8631+18</f>
        <v>8649</v>
      </c>
      <c r="AM16" s="149" t="s">
        <v>86</v>
      </c>
      <c r="AN16" s="147">
        <v>38310.525853638668</v>
      </c>
      <c r="AO16" s="148">
        <v>2001.3015046663704</v>
      </c>
      <c r="AP16" s="148" t="s">
        <v>86</v>
      </c>
      <c r="AQ16" s="148">
        <f>6751.5+24</f>
        <v>6775.5</v>
      </c>
      <c r="AR16" s="149" t="s">
        <v>86</v>
      </c>
      <c r="AS16" s="147">
        <v>3267.3593062192081</v>
      </c>
      <c r="AT16" s="148">
        <v>194.84477176052314</v>
      </c>
      <c r="AU16" s="148" t="s">
        <v>86</v>
      </c>
      <c r="AV16" s="148">
        <f>308+10</f>
        <v>318</v>
      </c>
      <c r="AW16" s="149" t="s">
        <v>86</v>
      </c>
      <c r="AX16" s="147">
        <v>54639.841141213423</v>
      </c>
      <c r="AY16" s="148">
        <v>1053.0759951749096</v>
      </c>
      <c r="AZ16" s="148" t="s">
        <v>86</v>
      </c>
      <c r="BA16" s="148">
        <f>3307.5+60</f>
        <v>3367.5</v>
      </c>
      <c r="BB16" s="149" t="s">
        <v>86</v>
      </c>
      <c r="BC16" s="147">
        <v>35328.587017750062</v>
      </c>
      <c r="BD16" s="148">
        <v>541.39419719382897</v>
      </c>
      <c r="BE16" s="148" t="s">
        <v>86</v>
      </c>
      <c r="BF16" s="148">
        <f>4490.5+173</f>
        <v>4663.5</v>
      </c>
      <c r="BG16" s="149" t="s">
        <v>86</v>
      </c>
      <c r="BH16" s="147">
        <v>9769.6853351153295</v>
      </c>
      <c r="BI16" s="148">
        <v>3661.4818106786875</v>
      </c>
      <c r="BJ16" s="148" t="s">
        <v>86</v>
      </c>
      <c r="BK16" s="148">
        <f>3624.25+5</f>
        <v>3629.25</v>
      </c>
      <c r="BL16" s="149" t="s">
        <v>86</v>
      </c>
      <c r="BM16" s="147">
        <v>6849.8485752757406</v>
      </c>
      <c r="BN16" s="148">
        <v>156.84718430575836</v>
      </c>
      <c r="BO16" s="148" t="s">
        <v>86</v>
      </c>
      <c r="BP16" s="148">
        <f>1937.25+19</f>
        <v>1956.25</v>
      </c>
      <c r="BQ16" s="149" t="s">
        <v>86</v>
      </c>
    </row>
    <row r="17" spans="1:76" ht="60" customHeight="1" outlineLevel="1" x14ac:dyDescent="0.25">
      <c r="A17" s="81" t="s">
        <v>19</v>
      </c>
      <c r="B17" s="81" t="s">
        <v>179</v>
      </c>
      <c r="C17" s="81" t="s">
        <v>180</v>
      </c>
      <c r="D17" s="301" t="s">
        <v>59</v>
      </c>
      <c r="E17" s="302"/>
      <c r="F17" s="81" t="s">
        <v>62</v>
      </c>
      <c r="G17" s="81" t="s">
        <v>65</v>
      </c>
      <c r="H17" s="181">
        <v>0.4</v>
      </c>
      <c r="I17" s="181">
        <v>1</v>
      </c>
      <c r="J17" s="81" t="s">
        <v>86</v>
      </c>
      <c r="K17" s="184" t="s">
        <v>86</v>
      </c>
      <c r="L17" s="81" t="s">
        <v>86</v>
      </c>
      <c r="M17" s="117">
        <v>1</v>
      </c>
      <c r="N17" s="183">
        <v>1</v>
      </c>
      <c r="O17" s="119" t="s">
        <v>86</v>
      </c>
      <c r="P17" s="118" t="s">
        <v>86</v>
      </c>
      <c r="Q17" s="119" t="s">
        <v>86</v>
      </c>
      <c r="R17" s="120">
        <v>1</v>
      </c>
      <c r="S17" s="182">
        <v>1</v>
      </c>
      <c r="T17" s="122" t="s">
        <v>86</v>
      </c>
      <c r="U17" s="121" t="s">
        <v>86</v>
      </c>
      <c r="V17" s="122" t="s">
        <v>86</v>
      </c>
      <c r="W17" s="53"/>
      <c r="X17" s="53"/>
      <c r="Y17" s="53"/>
      <c r="Z17" s="53"/>
      <c r="AA17" s="53"/>
      <c r="AB17" s="53"/>
      <c r="AC17" s="75" t="s">
        <v>19</v>
      </c>
      <c r="AD17" s="150">
        <v>1</v>
      </c>
      <c r="AE17" s="151" t="s">
        <v>86</v>
      </c>
      <c r="AF17" s="151" t="s">
        <v>86</v>
      </c>
      <c r="AG17" s="151" t="s">
        <v>86</v>
      </c>
      <c r="AH17" s="152" t="s">
        <v>86</v>
      </c>
      <c r="AI17" s="150">
        <v>1</v>
      </c>
      <c r="AJ17" s="151" t="s">
        <v>86</v>
      </c>
      <c r="AK17" s="151" t="s">
        <v>86</v>
      </c>
      <c r="AL17" s="151" t="s">
        <v>86</v>
      </c>
      <c r="AM17" s="152" t="s">
        <v>86</v>
      </c>
      <c r="AN17" s="150">
        <v>1</v>
      </c>
      <c r="AO17" s="151" t="s">
        <v>86</v>
      </c>
      <c r="AP17" s="151" t="s">
        <v>86</v>
      </c>
      <c r="AQ17" s="151" t="s">
        <v>86</v>
      </c>
      <c r="AR17" s="152" t="s">
        <v>86</v>
      </c>
      <c r="AS17" s="150">
        <v>1</v>
      </c>
      <c r="AT17" s="151" t="s">
        <v>86</v>
      </c>
      <c r="AU17" s="151" t="s">
        <v>86</v>
      </c>
      <c r="AV17" s="151" t="s">
        <v>86</v>
      </c>
      <c r="AW17" s="152" t="s">
        <v>86</v>
      </c>
      <c r="AX17" s="150">
        <v>1</v>
      </c>
      <c r="AY17" s="151" t="s">
        <v>86</v>
      </c>
      <c r="AZ17" s="151" t="s">
        <v>86</v>
      </c>
      <c r="BA17" s="151" t="s">
        <v>86</v>
      </c>
      <c r="BB17" s="152" t="s">
        <v>86</v>
      </c>
      <c r="BC17" s="150">
        <v>1</v>
      </c>
      <c r="BD17" s="151" t="s">
        <v>86</v>
      </c>
      <c r="BE17" s="151" t="s">
        <v>86</v>
      </c>
      <c r="BF17" s="151" t="s">
        <v>86</v>
      </c>
      <c r="BG17" s="152" t="s">
        <v>86</v>
      </c>
      <c r="BH17" s="150">
        <v>1</v>
      </c>
      <c r="BI17" s="151" t="s">
        <v>86</v>
      </c>
      <c r="BJ17" s="151" t="s">
        <v>86</v>
      </c>
      <c r="BK17" s="151" t="s">
        <v>86</v>
      </c>
      <c r="BL17" s="152" t="s">
        <v>86</v>
      </c>
      <c r="BM17" s="150">
        <v>1</v>
      </c>
      <c r="BN17" s="151" t="s">
        <v>86</v>
      </c>
      <c r="BO17" s="151" t="s">
        <v>86</v>
      </c>
      <c r="BP17" s="151" t="s">
        <v>86</v>
      </c>
      <c r="BQ17" s="152" t="s">
        <v>86</v>
      </c>
    </row>
    <row r="18" spans="1:76" ht="60" outlineLevel="1" x14ac:dyDescent="0.25">
      <c r="A18" s="81" t="s">
        <v>89</v>
      </c>
      <c r="B18" s="81" t="s">
        <v>201</v>
      </c>
      <c r="C18" s="81" t="s">
        <v>222</v>
      </c>
      <c r="D18" s="301" t="s">
        <v>162</v>
      </c>
      <c r="E18" s="302"/>
      <c r="F18" s="81" t="s">
        <v>161</v>
      </c>
      <c r="G18" s="81" t="s">
        <v>65</v>
      </c>
      <c r="H18" s="280">
        <v>50000</v>
      </c>
      <c r="I18" s="230" t="s">
        <v>86</v>
      </c>
      <c r="J18" s="184" t="s">
        <v>86</v>
      </c>
      <c r="K18" s="184" t="s">
        <v>86</v>
      </c>
      <c r="L18" s="184" t="s">
        <v>86</v>
      </c>
      <c r="M18" s="39">
        <v>40000</v>
      </c>
      <c r="N18" s="118" t="s">
        <v>86</v>
      </c>
      <c r="O18" s="119" t="s">
        <v>86</v>
      </c>
      <c r="P18" s="118" t="s">
        <v>86</v>
      </c>
      <c r="Q18" s="119" t="s">
        <v>86</v>
      </c>
      <c r="R18" s="42" t="s">
        <v>86</v>
      </c>
      <c r="S18" s="182" t="s">
        <v>86</v>
      </c>
      <c r="T18" s="122" t="s">
        <v>86</v>
      </c>
      <c r="U18" s="121" t="s">
        <v>86</v>
      </c>
      <c r="V18" s="122" t="s">
        <v>86</v>
      </c>
      <c r="W18" s="53"/>
      <c r="X18" s="53"/>
      <c r="Y18" s="53"/>
      <c r="Z18" s="53"/>
      <c r="AA18" s="53"/>
      <c r="AB18" s="53"/>
      <c r="AC18" s="75" t="s">
        <v>160</v>
      </c>
      <c r="AD18" s="151">
        <v>12000</v>
      </c>
      <c r="AE18" s="151" t="s">
        <v>86</v>
      </c>
      <c r="AF18" s="151" t="s">
        <v>86</v>
      </c>
      <c r="AG18" s="151" t="s">
        <v>86</v>
      </c>
      <c r="AH18" s="152" t="s">
        <v>86</v>
      </c>
      <c r="AI18" s="151">
        <v>7000</v>
      </c>
      <c r="AJ18" s="151" t="s">
        <v>86</v>
      </c>
      <c r="AK18" s="151" t="s">
        <v>86</v>
      </c>
      <c r="AL18" s="151" t="s">
        <v>86</v>
      </c>
      <c r="AM18" s="152" t="s">
        <v>86</v>
      </c>
      <c r="AN18" s="151">
        <v>21000</v>
      </c>
      <c r="AO18" s="151" t="s">
        <v>86</v>
      </c>
      <c r="AP18" s="151" t="s">
        <v>86</v>
      </c>
      <c r="AQ18" s="151" t="s">
        <v>86</v>
      </c>
      <c r="AR18" s="152" t="s">
        <v>86</v>
      </c>
      <c r="AS18" s="151" t="s">
        <v>86</v>
      </c>
      <c r="AT18" s="151" t="s">
        <v>86</v>
      </c>
      <c r="AU18" s="151" t="s">
        <v>86</v>
      </c>
      <c r="AV18" s="151" t="s">
        <v>86</v>
      </c>
      <c r="AW18" s="152" t="s">
        <v>86</v>
      </c>
      <c r="AX18" s="151" t="s">
        <v>86</v>
      </c>
      <c r="AY18" s="151" t="s">
        <v>86</v>
      </c>
      <c r="AZ18" s="151" t="s">
        <v>86</v>
      </c>
      <c r="BA18" s="151" t="s">
        <v>86</v>
      </c>
      <c r="BB18" s="152" t="s">
        <v>86</v>
      </c>
      <c r="BC18" s="151" t="s">
        <v>86</v>
      </c>
      <c r="BD18" s="151" t="s">
        <v>86</v>
      </c>
      <c r="BE18" s="151" t="s">
        <v>86</v>
      </c>
      <c r="BF18" s="151" t="s">
        <v>86</v>
      </c>
      <c r="BG18" s="152" t="s">
        <v>86</v>
      </c>
      <c r="BH18" s="151" t="s">
        <v>86</v>
      </c>
      <c r="BI18" s="151" t="s">
        <v>86</v>
      </c>
      <c r="BJ18" s="151" t="s">
        <v>86</v>
      </c>
      <c r="BK18" s="151" t="s">
        <v>86</v>
      </c>
      <c r="BL18" s="152" t="s">
        <v>86</v>
      </c>
      <c r="BM18" s="151" t="s">
        <v>86</v>
      </c>
      <c r="BN18" s="151" t="s">
        <v>86</v>
      </c>
      <c r="BO18" s="151" t="s">
        <v>86</v>
      </c>
      <c r="BP18" s="151" t="s">
        <v>86</v>
      </c>
      <c r="BQ18" s="152" t="s">
        <v>86</v>
      </c>
    </row>
    <row r="19" spans="1:76" ht="75" outlineLevel="1" x14ac:dyDescent="0.25">
      <c r="A19" s="81" t="s">
        <v>160</v>
      </c>
      <c r="B19" s="81" t="s">
        <v>223</v>
      </c>
      <c r="C19" s="81" t="s">
        <v>224</v>
      </c>
      <c r="D19" s="301" t="s">
        <v>162</v>
      </c>
      <c r="E19" s="302"/>
      <c r="F19" s="81" t="s">
        <v>225</v>
      </c>
      <c r="G19" s="81" t="s">
        <v>65</v>
      </c>
      <c r="H19" s="280">
        <v>0</v>
      </c>
      <c r="I19" s="230" t="s">
        <v>86</v>
      </c>
      <c r="J19" s="184" t="s">
        <v>86</v>
      </c>
      <c r="K19" s="184" t="s">
        <v>86</v>
      </c>
      <c r="L19" s="184" t="s">
        <v>86</v>
      </c>
      <c r="M19" s="39">
        <v>15000</v>
      </c>
      <c r="N19" s="118" t="s">
        <v>86</v>
      </c>
      <c r="O19" s="119" t="s">
        <v>86</v>
      </c>
      <c r="P19" s="118" t="s">
        <v>86</v>
      </c>
      <c r="Q19" s="119" t="s">
        <v>86</v>
      </c>
      <c r="R19" s="42" t="s">
        <v>86</v>
      </c>
      <c r="S19" s="182" t="s">
        <v>86</v>
      </c>
      <c r="T19" s="122" t="s">
        <v>86</v>
      </c>
      <c r="U19" s="121" t="s">
        <v>86</v>
      </c>
      <c r="V19" s="122" t="s">
        <v>86</v>
      </c>
      <c r="W19" s="53"/>
      <c r="X19" s="53"/>
      <c r="Y19" s="53"/>
      <c r="Z19" s="53"/>
      <c r="AA19" s="53"/>
      <c r="AB19" s="53"/>
      <c r="AC19" s="75" t="s">
        <v>160</v>
      </c>
      <c r="AD19" s="151">
        <v>5500</v>
      </c>
      <c r="AE19" s="151" t="s">
        <v>86</v>
      </c>
      <c r="AF19" s="151" t="s">
        <v>86</v>
      </c>
      <c r="AG19" s="151" t="s">
        <v>86</v>
      </c>
      <c r="AH19" s="152" t="s">
        <v>86</v>
      </c>
      <c r="AI19" s="151">
        <v>2500</v>
      </c>
      <c r="AJ19" s="151" t="s">
        <v>86</v>
      </c>
      <c r="AK19" s="151" t="s">
        <v>86</v>
      </c>
      <c r="AL19" s="151" t="s">
        <v>86</v>
      </c>
      <c r="AM19" s="152" t="s">
        <v>86</v>
      </c>
      <c r="AN19" s="151">
        <v>7000</v>
      </c>
      <c r="AO19" s="151" t="s">
        <v>86</v>
      </c>
      <c r="AP19" s="151" t="s">
        <v>86</v>
      </c>
      <c r="AQ19" s="151" t="s">
        <v>86</v>
      </c>
      <c r="AR19" s="152" t="s">
        <v>86</v>
      </c>
      <c r="AS19" s="151" t="s">
        <v>86</v>
      </c>
      <c r="AT19" s="151" t="s">
        <v>86</v>
      </c>
      <c r="AU19" s="151" t="s">
        <v>86</v>
      </c>
      <c r="AV19" s="151" t="s">
        <v>86</v>
      </c>
      <c r="AW19" s="152" t="s">
        <v>86</v>
      </c>
      <c r="AX19" s="151" t="s">
        <v>86</v>
      </c>
      <c r="AY19" s="151" t="s">
        <v>86</v>
      </c>
      <c r="AZ19" s="151" t="s">
        <v>86</v>
      </c>
      <c r="BA19" s="151" t="s">
        <v>86</v>
      </c>
      <c r="BB19" s="152" t="s">
        <v>86</v>
      </c>
      <c r="BC19" s="151" t="s">
        <v>86</v>
      </c>
      <c r="BD19" s="151" t="s">
        <v>86</v>
      </c>
      <c r="BE19" s="151" t="s">
        <v>86</v>
      </c>
      <c r="BF19" s="151" t="s">
        <v>86</v>
      </c>
      <c r="BG19" s="152" t="s">
        <v>86</v>
      </c>
      <c r="BH19" s="151" t="s">
        <v>86</v>
      </c>
      <c r="BI19" s="151" t="s">
        <v>86</v>
      </c>
      <c r="BJ19" s="151" t="s">
        <v>86</v>
      </c>
      <c r="BK19" s="151" t="s">
        <v>86</v>
      </c>
      <c r="BL19" s="152" t="s">
        <v>86</v>
      </c>
      <c r="BM19" s="151" t="s">
        <v>86</v>
      </c>
      <c r="BN19" s="151" t="s">
        <v>86</v>
      </c>
      <c r="BO19" s="151" t="s">
        <v>86</v>
      </c>
      <c r="BP19" s="151" t="s">
        <v>86</v>
      </c>
      <c r="BQ19" s="152" t="s">
        <v>86</v>
      </c>
    </row>
    <row r="20" spans="1:76" ht="21" outlineLevel="1" x14ac:dyDescent="0.35">
      <c r="A20" s="50" t="s">
        <v>56</v>
      </c>
      <c r="B20" s="50"/>
      <c r="C20" s="50"/>
      <c r="D20" s="50"/>
      <c r="E20" s="50"/>
      <c r="F20" s="50"/>
      <c r="G20" s="50"/>
      <c r="H20" s="111"/>
      <c r="I20" s="111"/>
      <c r="J20" s="111"/>
      <c r="K20" s="111"/>
      <c r="L20" s="111"/>
      <c r="M20" s="111"/>
      <c r="N20" s="111"/>
      <c r="O20" s="111"/>
      <c r="P20" s="135"/>
      <c r="Q20" s="135"/>
      <c r="R20" s="135"/>
      <c r="S20" s="53"/>
      <c r="T20" s="53"/>
      <c r="U20" s="53"/>
      <c r="V20" s="53"/>
      <c r="W20" s="53"/>
      <c r="X20" s="77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7"/>
      <c r="AJ20" s="307"/>
      <c r="AK20" s="307"/>
      <c r="AL20" s="307"/>
      <c r="AM20" s="307"/>
      <c r="AN20" s="307"/>
      <c r="AO20" s="307"/>
      <c r="AP20" s="307"/>
      <c r="AQ20" s="307"/>
      <c r="AR20" s="307"/>
      <c r="AS20" s="307"/>
      <c r="AT20" s="307"/>
      <c r="AU20" s="307"/>
      <c r="AV20" s="307"/>
      <c r="AW20" s="307"/>
      <c r="AX20" s="307"/>
      <c r="AY20" s="307"/>
      <c r="AZ20" s="307"/>
      <c r="BA20" s="307"/>
      <c r="BB20" s="307"/>
      <c r="BC20" s="307"/>
      <c r="BD20" s="307"/>
      <c r="BE20" s="307"/>
      <c r="BF20" s="307"/>
      <c r="BG20" s="307"/>
      <c r="BH20" s="307"/>
      <c r="BI20" s="307"/>
      <c r="BJ20" s="307"/>
      <c r="BK20" s="307"/>
      <c r="BL20" s="307"/>
      <c r="BM20" s="77"/>
    </row>
    <row r="21" spans="1:76" ht="24.6" customHeight="1" outlineLevel="1" x14ac:dyDescent="0.25">
      <c r="A21" s="305" t="s">
        <v>108</v>
      </c>
      <c r="B21" s="306"/>
      <c r="C21" s="306"/>
      <c r="D21" s="306"/>
      <c r="E21" s="306"/>
      <c r="F21" s="306"/>
      <c r="G21" s="306"/>
      <c r="H21" s="113"/>
      <c r="I21" s="113"/>
      <c r="J21" s="113"/>
      <c r="K21" s="53"/>
      <c r="L21" s="53"/>
      <c r="M21" s="53"/>
      <c r="N21" s="53"/>
      <c r="O21" s="53"/>
      <c r="P21" s="135"/>
      <c r="Q21" s="135"/>
      <c r="R21" s="135"/>
      <c r="S21" s="109"/>
      <c r="T21" s="109"/>
      <c r="U21" s="109"/>
      <c r="V21" s="109"/>
      <c r="W21" s="109"/>
      <c r="X21" s="109"/>
      <c r="Y21" s="139"/>
      <c r="Z21" s="140"/>
      <c r="AA21" s="109"/>
      <c r="AB21" s="109"/>
      <c r="AC21" s="109"/>
      <c r="AD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77"/>
    </row>
    <row r="22" spans="1:76" ht="24.6" customHeight="1" outlineLevel="1" x14ac:dyDescent="0.25">
      <c r="A22" s="303" t="s">
        <v>109</v>
      </c>
      <c r="B22" s="304"/>
      <c r="C22" s="304"/>
      <c r="D22" s="304"/>
      <c r="E22" s="304"/>
      <c r="F22" s="304"/>
      <c r="G22" s="304"/>
      <c r="H22" s="112"/>
      <c r="I22" s="112"/>
      <c r="J22" s="112"/>
      <c r="K22" s="53"/>
      <c r="L22" s="53"/>
      <c r="M22" s="53"/>
      <c r="N22" s="53"/>
      <c r="O22" s="53"/>
      <c r="P22" s="135"/>
      <c r="Q22" s="135"/>
      <c r="R22" s="135"/>
      <c r="S22" s="110"/>
      <c r="T22" s="110"/>
      <c r="U22" s="110"/>
      <c r="V22" s="110"/>
      <c r="W22" s="110"/>
      <c r="X22" s="110"/>
      <c r="Y22" s="139"/>
      <c r="Z22" s="140"/>
      <c r="AA22" s="110"/>
      <c r="AB22" s="110"/>
      <c r="AC22" s="110"/>
      <c r="AD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09"/>
      <c r="AW22" s="109"/>
      <c r="AX22" s="109"/>
      <c r="AY22" s="109"/>
      <c r="AZ22" s="110"/>
      <c r="BA22" s="110"/>
      <c r="BB22" s="110"/>
      <c r="BC22" s="110"/>
      <c r="BD22" s="110"/>
      <c r="BE22" s="110"/>
      <c r="BF22" s="77"/>
    </row>
    <row r="23" spans="1:76" ht="24.6" customHeight="1" outlineLevel="1" x14ac:dyDescent="0.25">
      <c r="A23" s="305" t="s">
        <v>110</v>
      </c>
      <c r="B23" s="306"/>
      <c r="C23" s="306"/>
      <c r="D23" s="306"/>
      <c r="E23" s="306"/>
      <c r="F23" s="306"/>
      <c r="G23" s="306"/>
      <c r="H23" s="112"/>
      <c r="I23" s="112"/>
      <c r="J23" s="112"/>
      <c r="K23" s="53"/>
      <c r="L23" s="53"/>
      <c r="M23" s="53"/>
      <c r="N23" s="53"/>
      <c r="O23" s="53"/>
      <c r="P23" s="135"/>
      <c r="Q23" s="135"/>
      <c r="R23" s="135"/>
      <c r="S23" s="110"/>
      <c r="T23" s="110"/>
      <c r="U23" s="110"/>
      <c r="V23" s="110"/>
      <c r="W23" s="110"/>
      <c r="X23" s="110"/>
      <c r="Y23" s="139"/>
      <c r="Z23" s="140"/>
      <c r="AA23" s="110"/>
      <c r="AB23" s="110"/>
      <c r="AC23" s="110"/>
      <c r="AD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77"/>
    </row>
    <row r="24" spans="1:76" ht="34.5" customHeight="1" outlineLevel="1" x14ac:dyDescent="0.25">
      <c r="A24" s="305" t="s">
        <v>169</v>
      </c>
      <c r="B24" s="306"/>
      <c r="C24" s="306"/>
      <c r="D24" s="306"/>
      <c r="E24" s="306"/>
      <c r="F24" s="306"/>
      <c r="G24" s="306"/>
      <c r="H24" s="112"/>
      <c r="I24" s="112"/>
      <c r="J24" s="112"/>
      <c r="K24" s="53"/>
      <c r="L24" s="53"/>
      <c r="M24" s="53"/>
      <c r="N24" s="53"/>
      <c r="O24" s="53"/>
      <c r="P24" s="135"/>
      <c r="Q24" s="135"/>
      <c r="R24" s="135"/>
      <c r="S24" s="110"/>
      <c r="T24" s="110"/>
      <c r="U24" s="110"/>
      <c r="V24" s="110"/>
      <c r="W24" s="110"/>
      <c r="X24" s="110"/>
      <c r="Y24" s="139"/>
      <c r="Z24" s="14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</row>
    <row r="25" spans="1:76" ht="44.1" customHeight="1" x14ac:dyDescent="0.25">
      <c r="A25" s="303" t="s">
        <v>170</v>
      </c>
      <c r="B25" s="304"/>
      <c r="C25" s="304"/>
      <c r="D25" s="304"/>
      <c r="E25" s="304"/>
      <c r="F25" s="304"/>
      <c r="G25" s="304"/>
      <c r="P25" s="135"/>
      <c r="Q25" s="135"/>
      <c r="R25" s="135"/>
      <c r="X25" s="77"/>
      <c r="Y25" s="139"/>
      <c r="Z25" s="140"/>
      <c r="AA25" s="77"/>
      <c r="AB25" s="77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</row>
    <row r="26" spans="1:76" x14ac:dyDescent="0.25">
      <c r="P26" s="135"/>
      <c r="Q26" s="135"/>
      <c r="R26" s="135"/>
      <c r="X26" s="77"/>
      <c r="Y26" s="139"/>
      <c r="Z26" s="140"/>
      <c r="AA26" s="77"/>
      <c r="AB26" s="244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</row>
    <row r="27" spans="1:76" x14ac:dyDescent="0.25">
      <c r="P27" s="135"/>
      <c r="Q27" s="135"/>
      <c r="R27" s="135"/>
      <c r="X27" s="77"/>
      <c r="Y27" s="139"/>
      <c r="Z27" s="140"/>
      <c r="AA27" s="77"/>
      <c r="AB27" s="77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</row>
    <row r="28" spans="1:76" x14ac:dyDescent="0.25">
      <c r="X28" s="77"/>
      <c r="Y28" s="77"/>
      <c r="Z28" s="77"/>
      <c r="AA28" s="77"/>
      <c r="AB28" s="77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</row>
    <row r="29" spans="1:76" x14ac:dyDescent="0.25">
      <c r="X29" s="77"/>
      <c r="Y29" s="77"/>
      <c r="Z29" s="77"/>
      <c r="AA29" s="77"/>
      <c r="AB29" s="77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</row>
  </sheetData>
  <mergeCells count="41">
    <mergeCell ref="A1:W1"/>
    <mergeCell ref="A2:G2"/>
    <mergeCell ref="H2:K2"/>
    <mergeCell ref="L2:O2"/>
    <mergeCell ref="P2:S2"/>
    <mergeCell ref="T2:W2"/>
    <mergeCell ref="D3:E3"/>
    <mergeCell ref="D4:E4"/>
    <mergeCell ref="D5:E5"/>
    <mergeCell ref="A7:D7"/>
    <mergeCell ref="Q9:V9"/>
    <mergeCell ref="AN14:AR14"/>
    <mergeCell ref="AS14:AW14"/>
    <mergeCell ref="D17:E17"/>
    <mergeCell ref="BH14:BL14"/>
    <mergeCell ref="BM14:BQ14"/>
    <mergeCell ref="D15:E15"/>
    <mergeCell ref="D16:E16"/>
    <mergeCell ref="AX14:BB14"/>
    <mergeCell ref="BC14:BG14"/>
    <mergeCell ref="R14:V14"/>
    <mergeCell ref="H14:L14"/>
    <mergeCell ref="AD14:AH14"/>
    <mergeCell ref="AI14:AM14"/>
    <mergeCell ref="A14:G14"/>
    <mergeCell ref="M14:Q14"/>
    <mergeCell ref="D18:E18"/>
    <mergeCell ref="A25:G25"/>
    <mergeCell ref="A24:G24"/>
    <mergeCell ref="BC20:BG20"/>
    <mergeCell ref="BH20:BL20"/>
    <mergeCell ref="A21:G21"/>
    <mergeCell ref="A22:G22"/>
    <mergeCell ref="A23:G23"/>
    <mergeCell ref="Y20:AC20"/>
    <mergeCell ref="AD20:AH20"/>
    <mergeCell ref="AI20:AM20"/>
    <mergeCell ref="AN20:AR20"/>
    <mergeCell ref="AS20:AW20"/>
    <mergeCell ref="AX20:BB20"/>
    <mergeCell ref="D19:E19"/>
  </mergeCells>
  <pageMargins left="0.7" right="0.7" top="0.75" bottom="0.75" header="0.3" footer="0.3"/>
  <pageSetup paperSize="8" scale="65" fitToWidth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51"/>
  <sheetViews>
    <sheetView showGridLines="0" topLeftCell="A27" zoomScale="80" zoomScaleNormal="80" workbookViewId="0">
      <selection activeCell="C30" sqref="C30"/>
    </sheetView>
  </sheetViews>
  <sheetFormatPr defaultColWidth="9.28515625" defaultRowHeight="15" outlineLevelRow="1" x14ac:dyDescent="0.25"/>
  <cols>
    <col min="1" max="1" width="14.42578125" customWidth="1"/>
    <col min="2" max="2" width="43.28515625" customWidth="1"/>
    <col min="3" max="3" width="71.5703125" bestFit="1" customWidth="1"/>
    <col min="4" max="4" width="36.28515625" customWidth="1"/>
    <col min="5" max="5" width="12" bestFit="1" customWidth="1"/>
    <col min="6" max="6" width="11.28515625" bestFit="1" customWidth="1"/>
    <col min="7" max="7" width="16.7109375" bestFit="1" customWidth="1"/>
    <col min="8" max="8" width="9.28515625" bestFit="1" customWidth="1"/>
    <col min="9" max="11" width="11.7109375" bestFit="1" customWidth="1"/>
    <col min="12" max="12" width="8.7109375" bestFit="1" customWidth="1"/>
    <col min="13" max="19" width="10.28515625" customWidth="1"/>
    <col min="20" max="20" width="13" customWidth="1"/>
    <col min="21" max="23" width="10.28515625" customWidth="1"/>
    <col min="24" max="24" width="8" customWidth="1"/>
    <col min="25" max="25" width="9.42578125" customWidth="1"/>
    <col min="26" max="27" width="8" customWidth="1"/>
    <col min="28" max="28" width="12.28515625" bestFit="1" customWidth="1"/>
    <col min="29" max="29" width="8" customWidth="1"/>
    <col min="30" max="30" width="10.28515625" customWidth="1"/>
    <col min="31" max="33" width="8" customWidth="1"/>
    <col min="34" max="34" width="8.5703125" bestFit="1" customWidth="1"/>
    <col min="35" max="35" width="9.42578125" customWidth="1"/>
    <col min="36" max="42" width="8" customWidth="1"/>
    <col min="43" max="43" width="10.28515625" bestFit="1" customWidth="1"/>
    <col min="44" max="44" width="8" customWidth="1"/>
    <col min="45" max="45" width="9.5703125" customWidth="1"/>
    <col min="46" max="46" width="10.28515625" bestFit="1" customWidth="1"/>
    <col min="48" max="48" width="10.7109375" bestFit="1" customWidth="1"/>
    <col min="50" max="50" width="11.5703125" bestFit="1" customWidth="1"/>
    <col min="51" max="51" width="9.28515625" bestFit="1" customWidth="1"/>
    <col min="53" max="53" width="10.7109375" bestFit="1" customWidth="1"/>
    <col min="55" max="55" width="11.5703125" bestFit="1" customWidth="1"/>
    <col min="56" max="56" width="10.28515625" bestFit="1" customWidth="1"/>
    <col min="58" max="58" width="10.7109375" bestFit="1" customWidth="1"/>
    <col min="60" max="60" width="10.7109375" bestFit="1" customWidth="1"/>
    <col min="61" max="61" width="9.28515625" bestFit="1" customWidth="1"/>
    <col min="62" max="62" width="11.28515625" bestFit="1" customWidth="1"/>
    <col min="63" max="63" width="10.28515625" bestFit="1" customWidth="1"/>
  </cols>
  <sheetData>
    <row r="1" spans="1:69" ht="60" customHeight="1" x14ac:dyDescent="0.25">
      <c r="A1" s="347" t="s">
        <v>215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53"/>
      <c r="BJ1" s="53"/>
      <c r="BK1" s="53"/>
      <c r="BL1" s="53"/>
    </row>
    <row r="2" spans="1:69" ht="25.15" customHeight="1" x14ac:dyDescent="0.25">
      <c r="A2" s="330" t="s">
        <v>2</v>
      </c>
      <c r="B2" s="330"/>
      <c r="C2" s="330"/>
      <c r="D2" s="330"/>
      <c r="E2" s="330"/>
      <c r="F2" s="330"/>
      <c r="G2" s="330"/>
      <c r="H2" s="331" t="s">
        <v>4</v>
      </c>
      <c r="I2" s="332"/>
      <c r="J2" s="332"/>
      <c r="K2" s="333"/>
      <c r="L2" s="348" t="s">
        <v>29</v>
      </c>
      <c r="M2" s="349"/>
      <c r="N2" s="349"/>
      <c r="O2" s="350"/>
      <c r="P2" s="331" t="s">
        <v>28</v>
      </c>
      <c r="Q2" s="332"/>
      <c r="R2" s="332"/>
      <c r="S2" s="333"/>
      <c r="T2" s="337" t="s">
        <v>5</v>
      </c>
      <c r="U2" s="335"/>
      <c r="V2" s="335"/>
      <c r="W2" s="338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</row>
    <row r="3" spans="1:69" ht="33" customHeight="1" thickBot="1" x14ac:dyDescent="0.3">
      <c r="A3" s="79" t="s">
        <v>6</v>
      </c>
      <c r="B3" s="37" t="s">
        <v>7</v>
      </c>
      <c r="C3" s="37" t="s">
        <v>3</v>
      </c>
      <c r="D3" s="311" t="s">
        <v>33</v>
      </c>
      <c r="E3" s="312"/>
      <c r="F3" s="38" t="s">
        <v>10</v>
      </c>
      <c r="G3" s="114" t="s">
        <v>0</v>
      </c>
      <c r="H3" s="93" t="s">
        <v>1</v>
      </c>
      <c r="I3" s="34" t="s">
        <v>36</v>
      </c>
      <c r="J3" s="47" t="s">
        <v>175</v>
      </c>
      <c r="K3" s="92" t="s">
        <v>53</v>
      </c>
      <c r="L3" s="93" t="s">
        <v>1</v>
      </c>
      <c r="M3" s="34" t="s">
        <v>36</v>
      </c>
      <c r="N3" s="47" t="s">
        <v>175</v>
      </c>
      <c r="O3" s="92" t="s">
        <v>53</v>
      </c>
      <c r="P3" s="93" t="s">
        <v>1</v>
      </c>
      <c r="Q3" s="34" t="s">
        <v>36</v>
      </c>
      <c r="R3" s="47" t="s">
        <v>175</v>
      </c>
      <c r="S3" s="92" t="s">
        <v>53</v>
      </c>
      <c r="T3" s="93" t="s">
        <v>1</v>
      </c>
      <c r="U3" s="34" t="s">
        <v>36</v>
      </c>
      <c r="V3" s="47" t="s">
        <v>175</v>
      </c>
      <c r="W3" s="92" t="s">
        <v>53</v>
      </c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</row>
    <row r="4" spans="1:69" s="1" customFormat="1" ht="81.75" customHeight="1" thickBot="1" x14ac:dyDescent="0.3">
      <c r="A4" s="80" t="s">
        <v>123</v>
      </c>
      <c r="B4" s="10" t="s">
        <v>114</v>
      </c>
      <c r="C4" s="10" t="s">
        <v>115</v>
      </c>
      <c r="D4" s="301" t="s">
        <v>116</v>
      </c>
      <c r="E4" s="302"/>
      <c r="F4" s="11" t="s">
        <v>20</v>
      </c>
      <c r="G4" s="90" t="s">
        <v>124</v>
      </c>
      <c r="H4" s="153" t="s">
        <v>86</v>
      </c>
      <c r="I4" s="155">
        <v>1</v>
      </c>
      <c r="J4" s="156" t="s">
        <v>86</v>
      </c>
      <c r="K4" s="157" t="s">
        <v>86</v>
      </c>
      <c r="L4" s="158" t="s">
        <v>86</v>
      </c>
      <c r="M4" s="155">
        <v>1</v>
      </c>
      <c r="N4" s="156" t="s">
        <v>86</v>
      </c>
      <c r="O4" s="159" t="s">
        <v>86</v>
      </c>
      <c r="P4" s="153" t="s">
        <v>86</v>
      </c>
      <c r="Q4" s="155">
        <v>1</v>
      </c>
      <c r="R4" s="156" t="s">
        <v>86</v>
      </c>
      <c r="S4" s="157" t="s">
        <v>86</v>
      </c>
      <c r="T4" s="153" t="s">
        <v>86</v>
      </c>
      <c r="U4" s="155">
        <v>1</v>
      </c>
      <c r="V4" s="156" t="s">
        <v>86</v>
      </c>
      <c r="W4" s="157" t="s">
        <v>86</v>
      </c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9" s="1" customFormat="1" ht="85.5" customHeight="1" x14ac:dyDescent="0.25">
      <c r="A5" s="80" t="s">
        <v>19</v>
      </c>
      <c r="B5" s="9" t="s">
        <v>113</v>
      </c>
      <c r="C5" s="9" t="s">
        <v>112</v>
      </c>
      <c r="D5" s="313" t="s">
        <v>126</v>
      </c>
      <c r="E5" s="314"/>
      <c r="F5" s="9" t="s">
        <v>20</v>
      </c>
      <c r="G5" s="89" t="s">
        <v>125</v>
      </c>
      <c r="H5" s="153">
        <v>0.9</v>
      </c>
      <c r="I5" s="165">
        <v>1</v>
      </c>
      <c r="J5" s="166">
        <v>1</v>
      </c>
      <c r="K5" s="167">
        <v>1</v>
      </c>
      <c r="L5" s="153">
        <v>0.9</v>
      </c>
      <c r="M5" s="165">
        <v>1</v>
      </c>
      <c r="N5" s="166">
        <v>1</v>
      </c>
      <c r="O5" s="186">
        <v>1</v>
      </c>
      <c r="P5" s="153" t="s">
        <v>86</v>
      </c>
      <c r="Q5" s="165">
        <v>1</v>
      </c>
      <c r="R5" s="166">
        <v>1</v>
      </c>
      <c r="S5" s="167">
        <v>1</v>
      </c>
      <c r="T5" s="153" t="s">
        <v>86</v>
      </c>
      <c r="U5" s="165">
        <v>1</v>
      </c>
      <c r="V5" s="166">
        <v>1</v>
      </c>
      <c r="W5" s="167">
        <v>1</v>
      </c>
      <c r="X5" s="7"/>
      <c r="Y5" s="7"/>
      <c r="Z5" s="7"/>
      <c r="AA5" s="7"/>
      <c r="AB5" s="7"/>
      <c r="AC5" s="7"/>
      <c r="AD5" s="7"/>
      <c r="AE5" s="7"/>
      <c r="AF5" s="7"/>
      <c r="AG5"/>
      <c r="AH5" s="246"/>
      <c r="AI5" s="7"/>
      <c r="AJ5" s="7"/>
      <c r="AK5" s="7"/>
      <c r="AL5" s="7"/>
      <c r="AM5" s="7"/>
      <c r="AN5" s="7"/>
      <c r="AO5" s="7"/>
      <c r="AP5" s="7"/>
      <c r="AQ5" s="76"/>
      <c r="AR5" s="248"/>
      <c r="AS5" s="250"/>
      <c r="AT5" s="250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9" s="1" customFormat="1" x14ac:dyDescent="0.25">
      <c r="A6" s="7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/>
      <c r="AH6" s="246"/>
      <c r="AI6" s="7"/>
      <c r="AJ6" s="7"/>
      <c r="AK6" s="7"/>
      <c r="AL6" s="7"/>
      <c r="AM6" s="7"/>
      <c r="AN6" s="7"/>
      <c r="AO6" s="7"/>
      <c r="AP6" s="7"/>
      <c r="AQ6" s="76"/>
      <c r="AR6" s="248"/>
      <c r="AS6" s="250"/>
      <c r="AT6" s="250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</row>
    <row r="7" spans="1:69" s="1" customFormat="1" ht="23.25" x14ac:dyDescent="0.25">
      <c r="A7" s="326" t="s">
        <v>216</v>
      </c>
      <c r="B7" s="326"/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/>
      <c r="AH7" s="246"/>
      <c r="AI7" s="76"/>
      <c r="AJ7" s="76"/>
      <c r="AK7" s="76"/>
      <c r="AL7" s="247"/>
      <c r="AM7" s="76"/>
      <c r="AN7" s="76"/>
      <c r="AO7" s="76"/>
      <c r="AP7" s="76"/>
      <c r="AQ7" s="7"/>
      <c r="AR7" s="249"/>
      <c r="AS7" s="250"/>
      <c r="AT7" s="251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"/>
      <c r="BJ7" s="7"/>
      <c r="BK7" s="7"/>
      <c r="BL7" s="7"/>
    </row>
    <row r="8" spans="1:69" s="12" customFormat="1" ht="27.75" customHeight="1" x14ac:dyDescent="0.35">
      <c r="A8" s="85"/>
      <c r="B8" s="85"/>
      <c r="C8" s="85"/>
      <c r="D8" s="85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/>
      <c r="AH8" s="246"/>
      <c r="AI8" s="76"/>
      <c r="AJ8" s="76"/>
      <c r="AK8" s="76"/>
      <c r="AL8" s="76"/>
      <c r="AM8" s="76"/>
      <c r="AN8" s="76"/>
      <c r="AO8" s="76"/>
      <c r="AP8" s="76"/>
      <c r="AQ8" s="7"/>
      <c r="AR8" s="249"/>
      <c r="AS8" s="250"/>
      <c r="AT8" s="251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</row>
    <row r="9" spans="1:69" s="1" customFormat="1" ht="29.25" customHeight="1" outlineLevel="1" thickBot="1" x14ac:dyDescent="0.4">
      <c r="A9" s="53"/>
      <c r="B9" s="94" t="s">
        <v>9</v>
      </c>
      <c r="C9" s="95" t="s">
        <v>176</v>
      </c>
      <c r="D9" s="96">
        <v>2019</v>
      </c>
      <c r="E9" s="97">
        <v>2020</v>
      </c>
      <c r="F9" s="78"/>
      <c r="G9" s="78"/>
      <c r="H9" s="78"/>
      <c r="I9" s="78"/>
      <c r="J9" s="78"/>
      <c r="K9" s="78"/>
      <c r="L9" s="78"/>
      <c r="M9" s="78"/>
      <c r="N9" s="7"/>
      <c r="O9" s="7"/>
      <c r="P9" s="7"/>
      <c r="Q9" s="327"/>
      <c r="R9" s="327"/>
      <c r="S9" s="327"/>
      <c r="T9" s="327"/>
      <c r="U9" s="327"/>
      <c r="V9" s="327"/>
      <c r="W9" s="7"/>
      <c r="X9" s="7"/>
      <c r="Y9" s="7"/>
      <c r="Z9" s="7"/>
      <c r="AA9" s="7"/>
      <c r="AB9" s="7"/>
      <c r="AC9" s="7"/>
      <c r="AD9" s="7"/>
      <c r="AE9" s="7"/>
      <c r="AF9" s="7"/>
      <c r="AG9"/>
      <c r="AH9" s="246"/>
      <c r="AI9" s="7"/>
      <c r="AJ9" s="7"/>
      <c r="AK9" s="7"/>
      <c r="AL9" s="7"/>
      <c r="AM9" s="7"/>
      <c r="AN9" s="7"/>
      <c r="AO9" s="7"/>
      <c r="AP9" s="7"/>
      <c r="AQ9" s="7"/>
      <c r="AR9" s="248"/>
      <c r="AS9" s="250"/>
      <c r="AT9" s="250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</row>
    <row r="10" spans="1:69" s="1" customFormat="1" ht="23.65" customHeight="1" outlineLevel="1" x14ac:dyDescent="0.35">
      <c r="A10" s="7"/>
      <c r="B10" s="98" t="s">
        <v>26</v>
      </c>
      <c r="C10" s="99">
        <f>ROUND(M16*5*115+115*35000*5+115*10200*5+M17*212+2000*115*5,-5)</f>
        <v>177500000</v>
      </c>
      <c r="D10" s="100">
        <f>C10</f>
        <v>177500000</v>
      </c>
      <c r="E10" s="101" t="s">
        <v>80</v>
      </c>
      <c r="F10" s="78"/>
      <c r="G10" s="78"/>
      <c r="H10" s="78"/>
      <c r="I10" s="78"/>
      <c r="J10" s="78"/>
      <c r="K10" s="78"/>
      <c r="L10" s="78"/>
      <c r="M10" s="78"/>
      <c r="N10" s="7"/>
      <c r="O10" s="7"/>
      <c r="P10" s="115"/>
      <c r="Q10" s="115"/>
      <c r="R10" s="115"/>
      <c r="S10" s="115"/>
      <c r="T10" s="115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/>
      <c r="AH10" s="246"/>
      <c r="AI10" s="7"/>
      <c r="AJ10" s="7"/>
      <c r="AK10" s="7"/>
      <c r="AL10" s="7"/>
      <c r="AM10" s="7"/>
      <c r="AN10" s="7"/>
      <c r="AO10" s="7"/>
      <c r="AP10" s="7"/>
      <c r="AQ10" s="7"/>
      <c r="AR10" s="248"/>
      <c r="AS10" s="250"/>
      <c r="AT10" s="250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</row>
    <row r="11" spans="1:69" s="1" customFormat="1" ht="23.65" customHeight="1" outlineLevel="1" x14ac:dyDescent="0.35">
      <c r="A11" s="53"/>
      <c r="B11" s="102" t="s">
        <v>24</v>
      </c>
      <c r="C11" s="197">
        <v>0.89</v>
      </c>
      <c r="D11" s="198">
        <f>C11</f>
        <v>0.89</v>
      </c>
      <c r="E11" s="101" t="s">
        <v>80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"/>
      <c r="R11" s="7"/>
      <c r="S11" s="7"/>
      <c r="T11" s="115"/>
      <c r="U11" s="115"/>
      <c r="V11" s="115"/>
      <c r="W11" s="115"/>
      <c r="X11" s="115"/>
      <c r="Y11" s="115"/>
      <c r="Z11" s="115"/>
      <c r="AA11" s="7"/>
      <c r="AB11" s="7"/>
      <c r="AC11" s="7"/>
      <c r="AD11" s="7"/>
      <c r="AE11" s="7"/>
      <c r="AF11" s="7"/>
      <c r="AG11"/>
      <c r="AH11" s="246"/>
      <c r="AI11" s="7"/>
      <c r="AJ11" s="7"/>
      <c r="AK11" s="7"/>
      <c r="AL11" s="7"/>
      <c r="AM11" s="7"/>
      <c r="AN11" s="7"/>
      <c r="AO11" s="7"/>
      <c r="AP11" s="7"/>
      <c r="AQ11" s="7"/>
      <c r="AR11" s="248"/>
      <c r="AS11" s="250"/>
      <c r="AT11" s="250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</row>
    <row r="12" spans="1:69" s="1" customFormat="1" ht="23.65" customHeight="1" outlineLevel="1" x14ac:dyDescent="0.35">
      <c r="A12" s="53"/>
      <c r="B12" s="102" t="s">
        <v>25</v>
      </c>
      <c r="C12" s="197">
        <f>(115*35000*5)/C10</f>
        <v>0.11338028169014085</v>
      </c>
      <c r="D12" s="198">
        <f>C12</f>
        <v>0.11338028169014085</v>
      </c>
      <c r="E12" s="101" t="s">
        <v>80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"/>
      <c r="R12" s="7"/>
      <c r="S12" s="7"/>
      <c r="T12" s="115"/>
      <c r="U12" s="115"/>
      <c r="V12" s="115"/>
      <c r="W12" s="115"/>
      <c r="X12" s="115"/>
      <c r="Y12" s="115"/>
      <c r="Z12" s="115"/>
      <c r="AA12" s="7"/>
      <c r="AB12" s="7"/>
      <c r="AC12" s="7"/>
      <c r="AD12" s="7"/>
      <c r="AE12" s="7"/>
      <c r="AF12" s="7"/>
      <c r="AG12"/>
      <c r="AH12" s="246"/>
      <c r="AI12" s="7"/>
      <c r="AJ12" s="7"/>
      <c r="AK12" s="7"/>
      <c r="AL12" s="7"/>
      <c r="AM12" s="7"/>
      <c r="AN12" s="7"/>
      <c r="AO12" s="7"/>
      <c r="AP12" s="7"/>
      <c r="AR12" s="248"/>
      <c r="AS12" s="250"/>
      <c r="AT12" s="250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9" s="1" customFormat="1" ht="19.5" customHeight="1" outlineLevel="1" x14ac:dyDescent="0.35">
      <c r="A13" s="53"/>
      <c r="B13" s="3"/>
      <c r="C13" s="3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"/>
      <c r="W13" s="7"/>
      <c r="X13" s="7"/>
      <c r="Y13" s="7"/>
      <c r="Z13" s="7"/>
      <c r="AA13" s="7"/>
      <c r="AB13" s="7"/>
      <c r="AC13" s="87" t="s">
        <v>188</v>
      </c>
      <c r="AD13" s="6"/>
      <c r="AE13" s="6"/>
      <c r="AF13" s="6"/>
      <c r="AG13" s="6"/>
      <c r="AH13" s="6"/>
      <c r="AI13" s="6"/>
      <c r="AJ13" s="7"/>
      <c r="AK13" s="7"/>
      <c r="AL13" s="7"/>
      <c r="AM13" s="7"/>
      <c r="AN13" s="7"/>
      <c r="AO13" s="7"/>
      <c r="AP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</row>
    <row r="14" spans="1:69" ht="21" outlineLevel="1" x14ac:dyDescent="0.35">
      <c r="A14" s="321" t="s">
        <v>60</v>
      </c>
      <c r="B14" s="321"/>
      <c r="C14" s="321"/>
      <c r="D14" s="321"/>
      <c r="E14" s="321"/>
      <c r="F14" s="321"/>
      <c r="G14" s="322"/>
      <c r="H14" s="318" t="s">
        <v>1</v>
      </c>
      <c r="I14" s="319"/>
      <c r="J14" s="319"/>
      <c r="K14" s="319"/>
      <c r="L14" s="320"/>
      <c r="M14" s="323" t="s">
        <v>177</v>
      </c>
      <c r="N14" s="324"/>
      <c r="O14" s="324"/>
      <c r="P14" s="324"/>
      <c r="Q14" s="325"/>
      <c r="R14" s="315" t="s">
        <v>178</v>
      </c>
      <c r="S14" s="316"/>
      <c r="T14" s="316"/>
      <c r="U14" s="316"/>
      <c r="V14" s="317"/>
      <c r="W14" s="53"/>
      <c r="X14" s="53"/>
      <c r="Y14" s="53"/>
      <c r="Z14" s="53"/>
      <c r="AA14" s="53"/>
      <c r="AB14" s="53"/>
      <c r="AC14" s="53"/>
      <c r="AD14" s="308" t="s">
        <v>11</v>
      </c>
      <c r="AE14" s="309"/>
      <c r="AF14" s="309"/>
      <c r="AG14" s="309"/>
      <c r="AH14" s="310"/>
      <c r="AI14" s="308" t="s">
        <v>16</v>
      </c>
      <c r="AJ14" s="309"/>
      <c r="AK14" s="309"/>
      <c r="AL14" s="309"/>
      <c r="AM14" s="310"/>
      <c r="AN14" s="308" t="s">
        <v>23</v>
      </c>
      <c r="AO14" s="309"/>
      <c r="AP14" s="309"/>
      <c r="AQ14" s="309"/>
      <c r="AR14" s="310"/>
      <c r="AS14" s="308" t="s">
        <v>13</v>
      </c>
      <c r="AT14" s="309"/>
      <c r="AU14" s="309"/>
      <c r="AV14" s="309"/>
      <c r="AW14" s="310"/>
      <c r="AX14" s="308" t="s">
        <v>14</v>
      </c>
      <c r="AY14" s="309"/>
      <c r="AZ14" s="309"/>
      <c r="BA14" s="309"/>
      <c r="BB14" s="310"/>
      <c r="BC14" s="308" t="s">
        <v>12</v>
      </c>
      <c r="BD14" s="309"/>
      <c r="BE14" s="309"/>
      <c r="BF14" s="309"/>
      <c r="BG14" s="310"/>
      <c r="BH14" s="308" t="s">
        <v>17</v>
      </c>
      <c r="BI14" s="309"/>
      <c r="BJ14" s="309"/>
      <c r="BK14" s="309"/>
      <c r="BL14" s="310"/>
      <c r="BM14" s="308" t="s">
        <v>15</v>
      </c>
      <c r="BN14" s="309"/>
      <c r="BO14" s="309"/>
      <c r="BP14" s="309"/>
      <c r="BQ14" s="310"/>
    </row>
    <row r="15" spans="1:69" ht="29.65" customHeight="1" outlineLevel="1" thickBot="1" x14ac:dyDescent="0.3">
      <c r="A15" s="79" t="s">
        <v>6</v>
      </c>
      <c r="B15" s="37" t="s">
        <v>8</v>
      </c>
      <c r="C15" s="37" t="s">
        <v>3</v>
      </c>
      <c r="D15" s="311" t="s">
        <v>55</v>
      </c>
      <c r="E15" s="312"/>
      <c r="F15" s="38" t="s">
        <v>10</v>
      </c>
      <c r="G15" s="38" t="s">
        <v>0</v>
      </c>
      <c r="H15" s="38" t="s">
        <v>21</v>
      </c>
      <c r="I15" s="38" t="s">
        <v>29</v>
      </c>
      <c r="J15" s="38" t="s">
        <v>28</v>
      </c>
      <c r="K15" s="38" t="s">
        <v>22</v>
      </c>
      <c r="L15" s="38" t="s">
        <v>39</v>
      </c>
      <c r="M15" s="33" t="s">
        <v>21</v>
      </c>
      <c r="N15" s="32" t="s">
        <v>29</v>
      </c>
      <c r="O15" s="33" t="s">
        <v>28</v>
      </c>
      <c r="P15" s="32" t="s">
        <v>22</v>
      </c>
      <c r="Q15" s="33" t="s">
        <v>39</v>
      </c>
      <c r="R15" s="41" t="s">
        <v>21</v>
      </c>
      <c r="S15" s="44" t="s">
        <v>29</v>
      </c>
      <c r="T15" s="41" t="s">
        <v>28</v>
      </c>
      <c r="U15" s="44" t="s">
        <v>22</v>
      </c>
      <c r="V15" s="41" t="s">
        <v>39</v>
      </c>
      <c r="W15" s="53"/>
      <c r="X15" s="53"/>
      <c r="Y15" s="53"/>
      <c r="Z15" s="53"/>
      <c r="AA15" s="53"/>
      <c r="AB15" s="53"/>
      <c r="AC15" s="53"/>
      <c r="AD15" s="72" t="s">
        <v>21</v>
      </c>
      <c r="AE15" s="48" t="s">
        <v>29</v>
      </c>
      <c r="AF15" s="48" t="s">
        <v>28</v>
      </c>
      <c r="AG15" s="48" t="s">
        <v>22</v>
      </c>
      <c r="AH15" s="69" t="s">
        <v>39</v>
      </c>
      <c r="AI15" s="72" t="s">
        <v>21</v>
      </c>
      <c r="AJ15" s="48" t="s">
        <v>29</v>
      </c>
      <c r="AK15" s="48" t="s">
        <v>28</v>
      </c>
      <c r="AL15" s="48" t="s">
        <v>22</v>
      </c>
      <c r="AM15" s="69" t="s">
        <v>39</v>
      </c>
      <c r="AN15" s="72" t="s">
        <v>21</v>
      </c>
      <c r="AO15" s="48" t="s">
        <v>29</v>
      </c>
      <c r="AP15" s="48" t="s">
        <v>28</v>
      </c>
      <c r="AQ15" s="48" t="s">
        <v>22</v>
      </c>
      <c r="AR15" s="69" t="s">
        <v>39</v>
      </c>
      <c r="AS15" s="72" t="s">
        <v>21</v>
      </c>
      <c r="AT15" s="48" t="s">
        <v>29</v>
      </c>
      <c r="AU15" s="48" t="s">
        <v>28</v>
      </c>
      <c r="AV15" s="48" t="s">
        <v>22</v>
      </c>
      <c r="AW15" s="69" t="s">
        <v>39</v>
      </c>
      <c r="AX15" s="72" t="s">
        <v>21</v>
      </c>
      <c r="AY15" s="48" t="s">
        <v>29</v>
      </c>
      <c r="AZ15" s="48" t="s">
        <v>28</v>
      </c>
      <c r="BA15" s="48" t="s">
        <v>22</v>
      </c>
      <c r="BB15" s="69" t="s">
        <v>39</v>
      </c>
      <c r="BC15" s="72" t="s">
        <v>21</v>
      </c>
      <c r="BD15" s="48" t="s">
        <v>29</v>
      </c>
      <c r="BE15" s="48" t="s">
        <v>28</v>
      </c>
      <c r="BF15" s="48" t="s">
        <v>22</v>
      </c>
      <c r="BG15" s="69"/>
      <c r="BH15" s="72" t="s">
        <v>21</v>
      </c>
      <c r="BI15" s="48" t="s">
        <v>29</v>
      </c>
      <c r="BJ15" s="48" t="s">
        <v>28</v>
      </c>
      <c r="BK15" s="48" t="s">
        <v>22</v>
      </c>
      <c r="BL15" s="69"/>
      <c r="BM15" s="72" t="s">
        <v>21</v>
      </c>
      <c r="BN15" s="48" t="s">
        <v>29</v>
      </c>
      <c r="BO15" s="48" t="s">
        <v>28</v>
      </c>
      <c r="BP15" s="48" t="s">
        <v>22</v>
      </c>
      <c r="BQ15" s="69" t="s">
        <v>39</v>
      </c>
    </row>
    <row r="16" spans="1:69" ht="109.15" customHeight="1" outlineLevel="1" x14ac:dyDescent="0.25">
      <c r="A16" s="80" t="s">
        <v>18</v>
      </c>
      <c r="B16" s="9" t="s">
        <v>127</v>
      </c>
      <c r="C16" s="9" t="s">
        <v>185</v>
      </c>
      <c r="D16" s="339" t="s">
        <v>186</v>
      </c>
      <c r="E16" s="340"/>
      <c r="F16" s="9" t="s">
        <v>58</v>
      </c>
      <c r="G16" s="9" t="s">
        <v>187</v>
      </c>
      <c r="H16" s="196">
        <v>155000</v>
      </c>
      <c r="I16" s="196">
        <v>9500</v>
      </c>
      <c r="J16" s="180">
        <v>720</v>
      </c>
      <c r="K16" s="180">
        <v>5000</v>
      </c>
      <c r="L16" s="180"/>
      <c r="M16" s="39">
        <v>253000</v>
      </c>
      <c r="N16" s="36">
        <v>10200</v>
      </c>
      <c r="O16" s="35">
        <v>800</v>
      </c>
      <c r="P16" s="36">
        <f>35000+2000</f>
        <v>37000</v>
      </c>
      <c r="Q16" s="35" t="s">
        <v>86</v>
      </c>
      <c r="R16" s="42">
        <v>253000</v>
      </c>
      <c r="S16" s="45">
        <v>10200</v>
      </c>
      <c r="T16" s="43">
        <v>800</v>
      </c>
      <c r="U16" s="45">
        <v>37000</v>
      </c>
      <c r="V16" s="144" t="s">
        <v>86</v>
      </c>
      <c r="W16" s="53"/>
      <c r="X16" s="53"/>
      <c r="Y16" s="53"/>
      <c r="Z16" s="53"/>
      <c r="AA16" s="53"/>
      <c r="AB16" s="53"/>
      <c r="AC16" s="74" t="s">
        <v>18</v>
      </c>
      <c r="AD16" s="136">
        <v>26632.135622718914</v>
      </c>
      <c r="AE16" s="137">
        <v>657.93917846485942</v>
      </c>
      <c r="AF16" s="137"/>
      <c r="AG16" s="137">
        <f>5950+766</f>
        <v>6716</v>
      </c>
      <c r="AH16" s="138"/>
      <c r="AI16" s="136">
        <v>36985.860471792694</v>
      </c>
      <c r="AJ16" s="137">
        <v>918.58929591771948</v>
      </c>
      <c r="AK16" s="137"/>
      <c r="AL16" s="137">
        <f>8631+70</f>
        <v>8701</v>
      </c>
      <c r="AM16" s="138"/>
      <c r="AN16" s="136">
        <v>56118.177389482516</v>
      </c>
      <c r="AO16" s="137">
        <v>2268.1417052885531</v>
      </c>
      <c r="AP16" s="137"/>
      <c r="AQ16" s="137">
        <f>6751.5+98</f>
        <v>6849.5</v>
      </c>
      <c r="AR16" s="138"/>
      <c r="AS16" s="136">
        <v>4936.2847486658447</v>
      </c>
      <c r="AT16" s="137">
        <v>204</v>
      </c>
      <c r="AU16" s="137"/>
      <c r="AV16" s="137">
        <f>308+41</f>
        <v>349</v>
      </c>
      <c r="AW16" s="138"/>
      <c r="AX16" s="136">
        <v>66640.691640710604</v>
      </c>
      <c r="AY16" s="137">
        <v>1193.4861278648975</v>
      </c>
      <c r="AZ16" s="137">
        <v>800</v>
      </c>
      <c r="BA16" s="137">
        <f>3307.5+240</f>
        <v>3547.5</v>
      </c>
      <c r="BB16" s="138"/>
      <c r="BC16" s="136">
        <v>38967.41480804926</v>
      </c>
      <c r="BD16" s="137">
        <v>613.58009015300615</v>
      </c>
      <c r="BE16" s="137"/>
      <c r="BF16" s="137">
        <f>4490.5+693</f>
        <v>5183.5</v>
      </c>
      <c r="BG16" s="138"/>
      <c r="BH16" s="136">
        <v>16004.557216917328</v>
      </c>
      <c r="BI16" s="137">
        <v>4149.6793854358457</v>
      </c>
      <c r="BJ16" s="137"/>
      <c r="BK16" s="137">
        <f>3624.25+22</f>
        <v>3646.25</v>
      </c>
      <c r="BL16" s="138"/>
      <c r="BM16" s="136">
        <v>9670.7397666714041</v>
      </c>
      <c r="BN16" s="137">
        <v>177.76014221319281</v>
      </c>
      <c r="BO16" s="137"/>
      <c r="BP16" s="137">
        <f>1937.25+71</f>
        <v>2008.25</v>
      </c>
      <c r="BQ16" s="70"/>
    </row>
    <row r="17" spans="1:69" ht="42.75" customHeight="1" outlineLevel="1" x14ac:dyDescent="0.25">
      <c r="A17" s="179" t="s">
        <v>19</v>
      </c>
      <c r="B17" s="180" t="s">
        <v>66</v>
      </c>
      <c r="C17" s="180" t="s">
        <v>61</v>
      </c>
      <c r="D17" s="351" t="s">
        <v>67</v>
      </c>
      <c r="E17" s="352"/>
      <c r="F17" s="180" t="s">
        <v>58</v>
      </c>
      <c r="G17" s="180" t="s">
        <v>68</v>
      </c>
      <c r="H17" s="180" t="s">
        <v>86</v>
      </c>
      <c r="I17" s="180" t="s">
        <v>86</v>
      </c>
      <c r="J17" s="180" t="s">
        <v>86</v>
      </c>
      <c r="K17" s="180" t="s">
        <v>86</v>
      </c>
      <c r="L17" s="180" t="s">
        <v>86</v>
      </c>
      <c r="M17" s="119">
        <v>22890</v>
      </c>
      <c r="N17" s="118">
        <v>0</v>
      </c>
      <c r="O17" s="119">
        <v>34500</v>
      </c>
      <c r="P17" s="118">
        <v>0</v>
      </c>
      <c r="Q17" s="119">
        <v>0</v>
      </c>
      <c r="R17" s="122">
        <v>22890</v>
      </c>
      <c r="S17" s="121" t="s">
        <v>86</v>
      </c>
      <c r="T17" s="122">
        <v>34500</v>
      </c>
      <c r="U17" s="121" t="s">
        <v>86</v>
      </c>
      <c r="V17" s="122" t="s">
        <v>86</v>
      </c>
      <c r="W17" s="53"/>
      <c r="X17" s="53"/>
      <c r="Y17" s="53"/>
      <c r="Z17" s="53"/>
      <c r="AA17" s="53"/>
      <c r="AB17" s="53"/>
      <c r="AC17" s="75" t="s">
        <v>89</v>
      </c>
      <c r="AD17" s="73" t="s">
        <v>86</v>
      </c>
      <c r="AE17" s="49" t="s">
        <v>86</v>
      </c>
      <c r="AF17" s="49" t="s">
        <v>86</v>
      </c>
      <c r="AG17" s="49" t="s">
        <v>86</v>
      </c>
      <c r="AH17" s="71" t="s">
        <v>86</v>
      </c>
      <c r="AI17" s="73" t="s">
        <v>86</v>
      </c>
      <c r="AJ17" s="49" t="s">
        <v>86</v>
      </c>
      <c r="AK17" s="49" t="s">
        <v>86</v>
      </c>
      <c r="AL17" s="49" t="s">
        <v>86</v>
      </c>
      <c r="AM17" s="71" t="s">
        <v>86</v>
      </c>
      <c r="AN17" s="73" t="s">
        <v>86</v>
      </c>
      <c r="AO17" s="49" t="s">
        <v>86</v>
      </c>
      <c r="AP17" s="49" t="s">
        <v>86</v>
      </c>
      <c r="AQ17" s="49" t="s">
        <v>86</v>
      </c>
      <c r="AR17" s="71" t="s">
        <v>86</v>
      </c>
      <c r="AS17" s="73" t="s">
        <v>86</v>
      </c>
      <c r="AT17" s="49" t="s">
        <v>86</v>
      </c>
      <c r="AU17" s="49" t="s">
        <v>86</v>
      </c>
      <c r="AV17" s="49" t="s">
        <v>86</v>
      </c>
      <c r="AW17" s="71" t="s">
        <v>86</v>
      </c>
      <c r="AX17" s="73" t="s">
        <v>86</v>
      </c>
      <c r="AY17" s="49" t="s">
        <v>86</v>
      </c>
      <c r="AZ17" s="49" t="s">
        <v>86</v>
      </c>
      <c r="BA17" s="49" t="s">
        <v>86</v>
      </c>
      <c r="BB17" s="71" t="s">
        <v>86</v>
      </c>
      <c r="BC17" s="73" t="s">
        <v>86</v>
      </c>
      <c r="BD17" s="49" t="s">
        <v>86</v>
      </c>
      <c r="BE17" s="49" t="s">
        <v>86</v>
      </c>
      <c r="BF17" s="49" t="s">
        <v>86</v>
      </c>
      <c r="BG17" s="71" t="s">
        <v>86</v>
      </c>
      <c r="BH17" s="73" t="s">
        <v>86</v>
      </c>
      <c r="BI17" s="49" t="s">
        <v>86</v>
      </c>
      <c r="BJ17" s="49" t="s">
        <v>86</v>
      </c>
      <c r="BK17" s="49" t="s">
        <v>86</v>
      </c>
      <c r="BL17" s="71" t="s">
        <v>86</v>
      </c>
      <c r="BM17" s="73" t="s">
        <v>86</v>
      </c>
      <c r="BN17" s="49" t="s">
        <v>86</v>
      </c>
      <c r="BO17" s="49" t="s">
        <v>86</v>
      </c>
      <c r="BP17" s="49" t="s">
        <v>86</v>
      </c>
      <c r="BQ17" s="71" t="s">
        <v>86</v>
      </c>
    </row>
    <row r="18" spans="1:69" ht="31.5" customHeight="1" outlineLevel="1" x14ac:dyDescent="0.35">
      <c r="A18" s="53"/>
      <c r="B18" s="78"/>
      <c r="C18" s="78"/>
      <c r="D18" s="78"/>
      <c r="E18" s="78"/>
      <c r="F18" s="78"/>
      <c r="G18" s="78"/>
      <c r="H18" s="78"/>
      <c r="I18" s="78"/>
      <c r="J18" s="78"/>
      <c r="K18" s="146"/>
      <c r="L18" s="53"/>
      <c r="M18" s="53"/>
      <c r="N18" s="53"/>
      <c r="O18" s="53"/>
      <c r="P18" s="199"/>
      <c r="Q18" s="53"/>
      <c r="R18" s="7"/>
      <c r="S18" s="7"/>
      <c r="T18" s="53"/>
      <c r="U18" s="53"/>
      <c r="V18" s="53"/>
      <c r="W18" s="53"/>
      <c r="X18" s="106"/>
      <c r="Y18" s="107"/>
      <c r="Z18" s="107"/>
      <c r="AA18" s="107"/>
      <c r="AB18" s="107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4"/>
      <c r="AX18" s="234"/>
      <c r="AY18" s="234"/>
      <c r="AZ18" s="234"/>
      <c r="BA18" s="234"/>
      <c r="BB18" s="234"/>
      <c r="BC18" s="234"/>
      <c r="BD18" s="234"/>
      <c r="BE18" s="234"/>
      <c r="BF18" s="234"/>
      <c r="BG18" s="234"/>
      <c r="BH18" s="234"/>
      <c r="BI18" s="234"/>
      <c r="BJ18" s="234"/>
      <c r="BK18" s="234"/>
      <c r="BL18" s="234"/>
      <c r="BM18" s="234"/>
      <c r="BN18" s="234"/>
      <c r="BO18" s="234"/>
      <c r="BP18" s="234"/>
      <c r="BQ18" s="234"/>
    </row>
    <row r="19" spans="1:69" ht="21" outlineLevel="1" x14ac:dyDescent="0.35">
      <c r="A19" s="116" t="s">
        <v>69</v>
      </c>
      <c r="B19" s="116"/>
      <c r="C19" s="116"/>
      <c r="D19" s="116"/>
      <c r="E19" s="116"/>
      <c r="F19" s="116"/>
      <c r="G19" s="116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53"/>
      <c r="S19" s="53"/>
      <c r="T19" s="53"/>
      <c r="U19" s="53"/>
      <c r="V19" s="53"/>
      <c r="W19" s="53"/>
      <c r="X19" s="77"/>
      <c r="Y19" s="307"/>
      <c r="Z19" s="307"/>
      <c r="AA19" s="307"/>
      <c r="AB19" s="307"/>
      <c r="AC19" s="307"/>
      <c r="AD19" s="307"/>
      <c r="AE19" s="307"/>
      <c r="AF19" s="307"/>
      <c r="AG19" s="307"/>
      <c r="AH19" s="307"/>
      <c r="AI19" s="307"/>
      <c r="AJ19" s="307"/>
      <c r="AK19" s="307"/>
      <c r="AL19" s="307"/>
      <c r="AM19" s="307"/>
      <c r="AN19" s="307"/>
      <c r="AO19" s="307"/>
      <c r="AP19" s="307"/>
      <c r="AQ19" s="307"/>
      <c r="AR19" s="307"/>
      <c r="AS19" s="307"/>
      <c r="AT19" s="307"/>
      <c r="AU19" s="307"/>
      <c r="AV19" s="307"/>
      <c r="AW19" s="307"/>
      <c r="AX19" s="307"/>
      <c r="AY19" s="307"/>
      <c r="AZ19" s="307"/>
      <c r="BA19" s="307"/>
      <c r="BB19" s="307"/>
      <c r="BC19" s="307"/>
      <c r="BD19" s="307"/>
      <c r="BE19" s="307"/>
      <c r="BF19" s="307"/>
      <c r="BG19" s="307"/>
      <c r="BH19" s="307"/>
      <c r="BI19" s="307"/>
      <c r="BJ19" s="307"/>
      <c r="BK19" s="307"/>
      <c r="BL19" s="307"/>
      <c r="BM19" s="77"/>
    </row>
    <row r="20" spans="1:69" ht="21" outlineLevel="1" x14ac:dyDescent="0.25">
      <c r="A20" s="305" t="s">
        <v>102</v>
      </c>
      <c r="B20" s="306"/>
      <c r="C20" s="306"/>
      <c r="D20" s="306"/>
      <c r="E20" s="306"/>
      <c r="F20" s="306"/>
      <c r="G20" s="306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53"/>
      <c r="S20" s="53"/>
      <c r="T20" s="53"/>
      <c r="U20" s="53"/>
      <c r="V20" s="53"/>
      <c r="W20" s="53"/>
      <c r="X20" s="77"/>
      <c r="Y20" s="177"/>
      <c r="Z20" s="177"/>
      <c r="AA20" s="177"/>
      <c r="AB20" s="177"/>
      <c r="AC20" s="177"/>
      <c r="AD20" s="234"/>
      <c r="AE20" s="234"/>
      <c r="AF20" s="234"/>
      <c r="AG20" s="234"/>
      <c r="AH20" s="234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227"/>
      <c r="AT20" s="22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  <c r="BG20" s="177"/>
      <c r="BH20" s="177"/>
      <c r="BI20" s="177"/>
      <c r="BJ20" s="177"/>
      <c r="BK20" s="177"/>
      <c r="BL20" s="177"/>
      <c r="BM20" s="77"/>
    </row>
    <row r="21" spans="1:69" ht="21" outlineLevel="1" x14ac:dyDescent="0.25">
      <c r="A21" s="303" t="s">
        <v>101</v>
      </c>
      <c r="B21" s="304"/>
      <c r="C21" s="304"/>
      <c r="D21" s="304"/>
      <c r="E21" s="304"/>
      <c r="F21" s="304"/>
      <c r="G21" s="304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53"/>
      <c r="S21" s="53"/>
      <c r="T21" s="53"/>
      <c r="U21" s="53"/>
      <c r="V21" s="53"/>
      <c r="W21" s="53"/>
      <c r="X21" s="77"/>
      <c r="Y21" s="177"/>
      <c r="Z21" s="177"/>
      <c r="AA21" s="177"/>
      <c r="AB21" s="177"/>
      <c r="AC21" s="177"/>
      <c r="AD21" s="234"/>
      <c r="AE21" s="234"/>
      <c r="AF21" s="234"/>
      <c r="AG21" s="234"/>
      <c r="AH21" s="234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227"/>
      <c r="AT21" s="22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  <c r="BH21" s="177"/>
      <c r="BI21" s="177"/>
      <c r="BJ21" s="177"/>
      <c r="BK21" s="177"/>
      <c r="BL21" s="177"/>
      <c r="BM21" s="77"/>
    </row>
    <row r="22" spans="1:69" ht="21" customHeight="1" outlineLevel="1" x14ac:dyDescent="0.25">
      <c r="A22" s="305" t="s">
        <v>103</v>
      </c>
      <c r="B22" s="306"/>
      <c r="C22" s="306"/>
      <c r="D22" s="306"/>
      <c r="E22" s="306"/>
      <c r="F22" s="306"/>
      <c r="G22" s="306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53"/>
      <c r="S22" s="53"/>
      <c r="T22" s="53"/>
      <c r="U22" s="53"/>
      <c r="V22" s="53"/>
      <c r="W22" s="53"/>
      <c r="X22" s="77"/>
      <c r="Y22" s="177"/>
      <c r="Z22" s="177"/>
      <c r="AA22" s="177"/>
      <c r="AB22" s="177"/>
      <c r="AC22" s="177"/>
      <c r="AD22" s="234"/>
      <c r="AE22" s="234"/>
      <c r="AF22" s="234"/>
      <c r="AG22" s="234"/>
      <c r="AH22" s="234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227"/>
      <c r="AT22" s="22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  <c r="BI22" s="177"/>
      <c r="BJ22" s="177"/>
      <c r="BK22" s="177"/>
      <c r="BL22" s="177"/>
      <c r="BM22" s="77"/>
    </row>
    <row r="23" spans="1:69" ht="21" outlineLevel="1" x14ac:dyDescent="0.25">
      <c r="A23" s="303" t="s">
        <v>70</v>
      </c>
      <c r="B23" s="304"/>
      <c r="C23" s="304"/>
      <c r="D23" s="304"/>
      <c r="E23" s="304"/>
      <c r="F23" s="304"/>
      <c r="G23" s="304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53"/>
      <c r="S23" s="53"/>
      <c r="T23" s="53"/>
      <c r="U23" s="53"/>
      <c r="V23" s="53"/>
      <c r="W23" s="53"/>
      <c r="X23" s="77"/>
      <c r="Y23" s="177"/>
      <c r="Z23" s="177"/>
      <c r="AA23" s="177"/>
      <c r="AB23" s="177"/>
      <c r="AC23" s="177"/>
      <c r="AD23" s="234"/>
      <c r="AE23" s="234"/>
      <c r="AF23" s="234"/>
      <c r="AG23" s="234"/>
      <c r="AH23" s="234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227"/>
      <c r="AT23" s="22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  <c r="BI23" s="177"/>
      <c r="BJ23" s="177"/>
      <c r="BK23" s="177"/>
      <c r="BL23" s="177"/>
      <c r="BM23" s="77"/>
    </row>
    <row r="24" spans="1:69" ht="21" outlineLevel="1" x14ac:dyDescent="0.25">
      <c r="A24" s="305" t="s">
        <v>104</v>
      </c>
      <c r="B24" s="306"/>
      <c r="C24" s="306"/>
      <c r="D24" s="306"/>
      <c r="E24" s="306"/>
      <c r="F24" s="306"/>
      <c r="G24" s="306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53"/>
      <c r="S24" s="53"/>
      <c r="T24" s="53"/>
      <c r="U24" s="53"/>
      <c r="V24" s="53"/>
      <c r="W24" s="53"/>
      <c r="X24" s="77"/>
      <c r="Y24" s="177"/>
      <c r="Z24" s="177"/>
      <c r="AA24" s="177"/>
      <c r="AB24" s="177"/>
      <c r="AC24" s="177"/>
      <c r="AD24" s="234"/>
      <c r="AE24" s="234"/>
      <c r="AF24" s="234"/>
      <c r="AG24" s="234"/>
      <c r="AH24" s="234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227"/>
      <c r="AT24" s="227"/>
      <c r="AU24" s="177"/>
      <c r="AV24" s="177"/>
      <c r="AW24" s="177"/>
      <c r="AX24" s="177"/>
      <c r="AY24" s="177"/>
      <c r="AZ24" s="177"/>
      <c r="BA24" s="177"/>
      <c r="BB24" s="177"/>
      <c r="BC24" s="177"/>
      <c r="BD24" s="177"/>
      <c r="BE24" s="177"/>
      <c r="BF24" s="177"/>
      <c r="BG24" s="177"/>
      <c r="BH24" s="177"/>
      <c r="BI24" s="177"/>
      <c r="BJ24" s="177"/>
      <c r="BK24" s="177"/>
      <c r="BL24" s="177"/>
      <c r="BM24" s="77"/>
    </row>
    <row r="25" spans="1:69" ht="21" outlineLevel="1" x14ac:dyDescent="0.25">
      <c r="A25" s="303" t="s">
        <v>166</v>
      </c>
      <c r="B25" s="304"/>
      <c r="C25" s="304"/>
      <c r="D25" s="304"/>
      <c r="E25" s="304"/>
      <c r="F25" s="304"/>
      <c r="G25" s="304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53"/>
      <c r="S25" s="53"/>
      <c r="T25" s="53"/>
      <c r="U25" s="53"/>
      <c r="V25" s="53"/>
      <c r="W25" s="53"/>
      <c r="X25" s="77"/>
      <c r="Y25" s="231"/>
      <c r="Z25" s="231"/>
      <c r="AA25" s="231"/>
      <c r="AB25" s="231"/>
      <c r="AC25" s="231"/>
      <c r="AD25" s="234"/>
      <c r="AE25" s="234"/>
      <c r="AF25" s="234"/>
      <c r="AG25" s="234"/>
      <c r="AH25" s="234"/>
      <c r="AI25" s="231"/>
      <c r="AJ25" s="231"/>
      <c r="AK25" s="231"/>
      <c r="AL25" s="231"/>
      <c r="AM25" s="231"/>
      <c r="AN25" s="231"/>
      <c r="AO25" s="231"/>
      <c r="AP25" s="231"/>
      <c r="AQ25" s="231"/>
      <c r="AR25" s="231"/>
      <c r="AS25" s="227"/>
      <c r="AT25" s="227"/>
      <c r="AU25" s="231"/>
      <c r="AV25" s="231"/>
      <c r="AW25" s="231"/>
      <c r="AX25" s="231"/>
      <c r="AY25" s="231"/>
      <c r="AZ25" s="231"/>
      <c r="BA25" s="231"/>
      <c r="BB25" s="231"/>
      <c r="BC25" s="231"/>
      <c r="BD25" s="231"/>
      <c r="BE25" s="231"/>
      <c r="BF25" s="231"/>
      <c r="BG25" s="231"/>
      <c r="BH25" s="231"/>
      <c r="BI25" s="231"/>
      <c r="BJ25" s="231"/>
      <c r="BK25" s="231"/>
      <c r="BL25" s="231"/>
      <c r="BM25" s="77"/>
    </row>
    <row r="26" spans="1:69" x14ac:dyDescent="0.25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228"/>
      <c r="AT26" s="228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</row>
    <row r="27" spans="1:69" s="1" customFormat="1" ht="50.25" customHeight="1" x14ac:dyDescent="0.25">
      <c r="A27" s="326" t="s">
        <v>217</v>
      </c>
      <c r="B27" s="326"/>
      <c r="C27" s="326"/>
      <c r="D27" s="326"/>
      <c r="E27" s="326"/>
      <c r="F27" s="326"/>
      <c r="G27" s="326"/>
      <c r="H27" s="326"/>
      <c r="I27" s="326"/>
      <c r="J27" s="326"/>
      <c r="K27" s="326"/>
      <c r="L27" s="326"/>
      <c r="M27" s="326"/>
      <c r="N27" s="326"/>
      <c r="O27" s="326"/>
      <c r="P27" s="326"/>
      <c r="Q27" s="32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229"/>
      <c r="AT27" s="229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"/>
      <c r="BJ27" s="7"/>
      <c r="BK27" s="7"/>
      <c r="BL27" s="7"/>
    </row>
    <row r="28" spans="1:69" s="12" customFormat="1" ht="27.75" customHeight="1" x14ac:dyDescent="0.35">
      <c r="A28" s="85"/>
      <c r="B28" s="85"/>
      <c r="C28" s="85"/>
      <c r="D28" s="85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229"/>
      <c r="AT28" s="229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</row>
    <row r="29" spans="1:69" s="1" customFormat="1" ht="29.25" customHeight="1" outlineLevel="1" thickBot="1" x14ac:dyDescent="0.4">
      <c r="A29" s="53"/>
      <c r="B29" s="94" t="s">
        <v>9</v>
      </c>
      <c r="C29" s="95" t="s">
        <v>40</v>
      </c>
      <c r="D29" s="96">
        <v>2018</v>
      </c>
      <c r="E29" s="97">
        <v>2019</v>
      </c>
      <c r="F29" s="341">
        <v>2020</v>
      </c>
      <c r="G29" s="342"/>
      <c r="H29" s="78"/>
      <c r="I29" s="78"/>
      <c r="J29" s="78"/>
      <c r="K29" s="78"/>
      <c r="L29" s="78"/>
      <c r="M29" s="78"/>
      <c r="N29" s="7"/>
      <c r="O29" s="7"/>
      <c r="P29" s="7"/>
      <c r="Q29" s="327"/>
      <c r="R29" s="327"/>
      <c r="S29" s="327"/>
      <c r="T29" s="327"/>
      <c r="U29" s="327"/>
      <c r="V29" s="32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</row>
    <row r="30" spans="1:69" s="1" customFormat="1" ht="23.65" customHeight="1" outlineLevel="1" x14ac:dyDescent="0.35">
      <c r="A30" s="7"/>
      <c r="B30" s="98" t="s">
        <v>26</v>
      </c>
      <c r="C30" s="99">
        <f>ROUND((M36+N36+O36+P36)*136+P37*212+2482000+1438826+615845,-5)</f>
        <v>14500000</v>
      </c>
      <c r="D30" s="100">
        <f>C30</f>
        <v>14500000</v>
      </c>
      <c r="E30" s="101" t="s">
        <v>37</v>
      </c>
      <c r="F30" s="343" t="s">
        <v>38</v>
      </c>
      <c r="G30" s="344"/>
      <c r="H30" s="78"/>
      <c r="I30" s="78"/>
      <c r="J30" s="78"/>
      <c r="K30" s="78"/>
      <c r="L30" s="78"/>
      <c r="M30" s="78"/>
      <c r="N30" s="7"/>
      <c r="O30" s="7"/>
      <c r="P30" s="115"/>
      <c r="Q30" s="115"/>
      <c r="R30" s="115"/>
      <c r="S30" s="115"/>
      <c r="T30" s="115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</row>
    <row r="31" spans="1:69" s="1" customFormat="1" ht="23.65" customHeight="1" outlineLevel="1" x14ac:dyDescent="0.35">
      <c r="A31" s="53"/>
      <c r="B31" s="102" t="s">
        <v>24</v>
      </c>
      <c r="C31" s="274">
        <v>0.52</v>
      </c>
      <c r="D31" s="104">
        <f>C31</f>
        <v>0.52</v>
      </c>
      <c r="E31" s="105" t="s">
        <v>37</v>
      </c>
      <c r="F31" s="345" t="s">
        <v>38</v>
      </c>
      <c r="G31" s="346"/>
      <c r="H31" s="78"/>
      <c r="I31" s="78"/>
      <c r="J31" s="78"/>
      <c r="K31" s="78"/>
      <c r="L31" s="78"/>
      <c r="M31" s="78"/>
      <c r="N31" s="78"/>
      <c r="O31" s="78"/>
      <c r="P31" s="78"/>
      <c r="Q31" s="7"/>
      <c r="R31" s="7"/>
      <c r="S31" s="7"/>
      <c r="T31" s="115"/>
      <c r="U31" s="115"/>
      <c r="V31" s="115"/>
      <c r="W31" s="115"/>
      <c r="X31" s="115"/>
      <c r="Y31" s="115"/>
      <c r="Z31" s="115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</row>
    <row r="32" spans="1:69" s="1" customFormat="1" ht="23.65" customHeight="1" outlineLevel="1" x14ac:dyDescent="0.35">
      <c r="A32" s="53"/>
      <c r="B32" s="102" t="s">
        <v>25</v>
      </c>
      <c r="C32" s="274">
        <f>(15000*212+12000*136)/C30</f>
        <v>0.33186206896551723</v>
      </c>
      <c r="D32" s="104">
        <f>C32</f>
        <v>0.33186206896551723</v>
      </c>
      <c r="E32" s="105" t="s">
        <v>37</v>
      </c>
      <c r="F32" s="345" t="s">
        <v>38</v>
      </c>
      <c r="G32" s="346"/>
      <c r="H32" s="78"/>
      <c r="I32" s="78"/>
      <c r="J32" s="78"/>
      <c r="K32" s="78"/>
      <c r="L32" s="78"/>
      <c r="M32" s="78"/>
      <c r="N32" s="78"/>
      <c r="O32" s="78"/>
      <c r="P32" s="78"/>
      <c r="Q32" s="7"/>
      <c r="R32" s="7"/>
      <c r="S32" s="7"/>
      <c r="T32" s="115"/>
      <c r="U32" s="115"/>
      <c r="V32" s="115"/>
      <c r="W32" s="115"/>
      <c r="X32" s="115"/>
      <c r="Y32" s="115"/>
      <c r="Z32" s="115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</row>
    <row r="33" spans="1:69" s="1" customFormat="1" ht="19.5" customHeight="1" outlineLevel="1" x14ac:dyDescent="0.35">
      <c r="A33" s="53"/>
      <c r="B33" s="3"/>
      <c r="C33" s="3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"/>
      <c r="W33" s="7"/>
      <c r="X33" s="7"/>
      <c r="Y33" s="7"/>
      <c r="Z33" s="7"/>
      <c r="AA33" s="7"/>
      <c r="AB33" s="7"/>
      <c r="AC33" s="87" t="s">
        <v>188</v>
      </c>
      <c r="AD33" s="6"/>
      <c r="AE33" s="6"/>
      <c r="AF33" s="6"/>
      <c r="AG33" s="6"/>
      <c r="AH33" s="6"/>
      <c r="AI33" s="6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</row>
    <row r="34" spans="1:69" ht="21" outlineLevel="1" x14ac:dyDescent="0.35">
      <c r="A34" s="321" t="s">
        <v>71</v>
      </c>
      <c r="B34" s="321"/>
      <c r="C34" s="321"/>
      <c r="D34" s="321"/>
      <c r="E34" s="321"/>
      <c r="F34" s="321"/>
      <c r="G34" s="322"/>
      <c r="H34" s="353" t="s">
        <v>1</v>
      </c>
      <c r="I34" s="354"/>
      <c r="J34" s="354"/>
      <c r="K34" s="354"/>
      <c r="L34" s="355"/>
      <c r="M34" s="323" t="s">
        <v>177</v>
      </c>
      <c r="N34" s="324"/>
      <c r="O34" s="324"/>
      <c r="P34" s="324"/>
      <c r="Q34" s="325"/>
      <c r="R34" s="315" t="s">
        <v>178</v>
      </c>
      <c r="S34" s="316"/>
      <c r="T34" s="316"/>
      <c r="U34" s="316"/>
      <c r="V34" s="317"/>
      <c r="W34" s="53"/>
      <c r="X34" s="53"/>
      <c r="Y34" s="53"/>
      <c r="Z34" s="53"/>
      <c r="AA34" s="53"/>
      <c r="AB34" s="53"/>
      <c r="AC34" s="53"/>
      <c r="AD34" s="308" t="s">
        <v>11</v>
      </c>
      <c r="AE34" s="309"/>
      <c r="AF34" s="309"/>
      <c r="AG34" s="309"/>
      <c r="AH34" s="310"/>
      <c r="AI34" s="308" t="s">
        <v>16</v>
      </c>
      <c r="AJ34" s="309"/>
      <c r="AK34" s="309"/>
      <c r="AL34" s="309"/>
      <c r="AM34" s="310"/>
      <c r="AN34" s="308" t="s">
        <v>23</v>
      </c>
      <c r="AO34" s="309"/>
      <c r="AP34" s="309"/>
      <c r="AQ34" s="309"/>
      <c r="AR34" s="310"/>
      <c r="AS34" s="308" t="s">
        <v>13</v>
      </c>
      <c r="AT34" s="309"/>
      <c r="AU34" s="309"/>
      <c r="AV34" s="309"/>
      <c r="AW34" s="310"/>
      <c r="AX34" s="308" t="s">
        <v>14</v>
      </c>
      <c r="AY34" s="309"/>
      <c r="AZ34" s="309"/>
      <c r="BA34" s="309"/>
      <c r="BB34" s="310"/>
      <c r="BC34" s="308" t="s">
        <v>12</v>
      </c>
      <c r="BD34" s="309"/>
      <c r="BE34" s="309"/>
      <c r="BF34" s="309"/>
      <c r="BG34" s="310"/>
      <c r="BH34" s="308" t="s">
        <v>17</v>
      </c>
      <c r="BI34" s="309"/>
      <c r="BJ34" s="309"/>
      <c r="BK34" s="309"/>
      <c r="BL34" s="310"/>
      <c r="BM34" s="308" t="s">
        <v>15</v>
      </c>
      <c r="BN34" s="309"/>
      <c r="BO34" s="309"/>
      <c r="BP34" s="309"/>
      <c r="BQ34" s="310"/>
    </row>
    <row r="35" spans="1:69" ht="29.65" customHeight="1" outlineLevel="1" thickBot="1" x14ac:dyDescent="0.3">
      <c r="A35" s="79" t="s">
        <v>6</v>
      </c>
      <c r="B35" s="37" t="s">
        <v>8</v>
      </c>
      <c r="C35" s="37" t="s">
        <v>3</v>
      </c>
      <c r="D35" s="311" t="s">
        <v>55</v>
      </c>
      <c r="E35" s="312"/>
      <c r="F35" s="38" t="s">
        <v>10</v>
      </c>
      <c r="G35" s="38" t="s">
        <v>0</v>
      </c>
      <c r="H35" s="38" t="s">
        <v>21</v>
      </c>
      <c r="I35" s="38" t="s">
        <v>29</v>
      </c>
      <c r="J35" s="38" t="s">
        <v>28</v>
      </c>
      <c r="K35" s="38" t="s">
        <v>22</v>
      </c>
      <c r="L35" s="38" t="s">
        <v>39</v>
      </c>
      <c r="M35" s="33" t="s">
        <v>21</v>
      </c>
      <c r="N35" s="32" t="s">
        <v>29</v>
      </c>
      <c r="O35" s="33" t="s">
        <v>28</v>
      </c>
      <c r="P35" s="32" t="s">
        <v>22</v>
      </c>
      <c r="Q35" s="33" t="s">
        <v>39</v>
      </c>
      <c r="R35" s="41" t="s">
        <v>21</v>
      </c>
      <c r="S35" s="44" t="s">
        <v>29</v>
      </c>
      <c r="T35" s="41" t="s">
        <v>28</v>
      </c>
      <c r="U35" s="44" t="s">
        <v>22</v>
      </c>
      <c r="V35" s="41" t="s">
        <v>39</v>
      </c>
      <c r="W35" s="53"/>
      <c r="X35" s="53"/>
      <c r="Y35" s="53"/>
      <c r="Z35" s="53"/>
      <c r="AA35" s="53"/>
      <c r="AB35" s="53"/>
      <c r="AC35" s="53"/>
      <c r="AD35" s="72" t="s">
        <v>21</v>
      </c>
      <c r="AE35" s="48" t="s">
        <v>29</v>
      </c>
      <c r="AF35" s="48" t="s">
        <v>28</v>
      </c>
      <c r="AG35" s="48" t="s">
        <v>22</v>
      </c>
      <c r="AH35" s="69" t="s">
        <v>39</v>
      </c>
      <c r="AI35" s="72" t="s">
        <v>21</v>
      </c>
      <c r="AJ35" s="48" t="s">
        <v>29</v>
      </c>
      <c r="AK35" s="48" t="s">
        <v>28</v>
      </c>
      <c r="AL35" s="48" t="s">
        <v>22</v>
      </c>
      <c r="AM35" s="69" t="s">
        <v>39</v>
      </c>
      <c r="AN35" s="72" t="s">
        <v>21</v>
      </c>
      <c r="AO35" s="48" t="s">
        <v>29</v>
      </c>
      <c r="AP35" s="48" t="s">
        <v>28</v>
      </c>
      <c r="AQ35" s="48" t="s">
        <v>22</v>
      </c>
      <c r="AR35" s="69" t="s">
        <v>39</v>
      </c>
      <c r="AS35" s="72" t="s">
        <v>21</v>
      </c>
      <c r="AT35" s="48" t="s">
        <v>29</v>
      </c>
      <c r="AU35" s="48" t="s">
        <v>28</v>
      </c>
      <c r="AV35" s="48" t="s">
        <v>22</v>
      </c>
      <c r="AW35" s="69" t="s">
        <v>39</v>
      </c>
      <c r="AX35" s="72" t="s">
        <v>21</v>
      </c>
      <c r="AY35" s="48" t="s">
        <v>29</v>
      </c>
      <c r="AZ35" s="48" t="s">
        <v>28</v>
      </c>
      <c r="BA35" s="48" t="s">
        <v>22</v>
      </c>
      <c r="BB35" s="69" t="s">
        <v>39</v>
      </c>
      <c r="BC35" s="72" t="s">
        <v>21</v>
      </c>
      <c r="BD35" s="48" t="s">
        <v>29</v>
      </c>
      <c r="BE35" s="48" t="s">
        <v>28</v>
      </c>
      <c r="BF35" s="48" t="s">
        <v>22</v>
      </c>
      <c r="BG35" s="69"/>
      <c r="BH35" s="72" t="s">
        <v>21</v>
      </c>
      <c r="BI35" s="48" t="s">
        <v>29</v>
      </c>
      <c r="BJ35" s="48" t="s">
        <v>28</v>
      </c>
      <c r="BK35" s="48" t="s">
        <v>22</v>
      </c>
      <c r="BL35" s="69"/>
      <c r="BM35" s="72" t="s">
        <v>21</v>
      </c>
      <c r="BN35" s="48" t="s">
        <v>29</v>
      </c>
      <c r="BO35" s="48" t="s">
        <v>28</v>
      </c>
      <c r="BP35" s="48" t="s">
        <v>22</v>
      </c>
      <c r="BQ35" s="69" t="s">
        <v>39</v>
      </c>
    </row>
    <row r="36" spans="1:69" ht="33" customHeight="1" outlineLevel="1" x14ac:dyDescent="0.25">
      <c r="A36" s="80" t="s">
        <v>18</v>
      </c>
      <c r="B36" s="9" t="s">
        <v>105</v>
      </c>
      <c r="C36" s="9" t="s">
        <v>74</v>
      </c>
      <c r="D36" s="313" t="s">
        <v>67</v>
      </c>
      <c r="E36" s="314"/>
      <c r="F36" s="9" t="s">
        <v>58</v>
      </c>
      <c r="G36" s="9" t="s">
        <v>57</v>
      </c>
      <c r="H36" s="185">
        <v>32613</v>
      </c>
      <c r="I36" s="185">
        <v>1036</v>
      </c>
      <c r="J36" s="185">
        <v>2021</v>
      </c>
      <c r="K36" s="185">
        <v>28696</v>
      </c>
      <c r="L36" s="9" t="s">
        <v>86</v>
      </c>
      <c r="M36" s="170">
        <v>35000</v>
      </c>
      <c r="N36" s="171">
        <v>1000</v>
      </c>
      <c r="O36" s="172">
        <v>2000</v>
      </c>
      <c r="P36" s="171">
        <f>10000+2000</f>
        <v>12000</v>
      </c>
      <c r="Q36" s="172"/>
      <c r="R36" s="42">
        <v>35000</v>
      </c>
      <c r="S36" s="45">
        <v>1000</v>
      </c>
      <c r="T36" s="43">
        <v>2000</v>
      </c>
      <c r="U36" s="187">
        <v>12000</v>
      </c>
      <c r="V36" s="43"/>
      <c r="W36" s="53"/>
      <c r="X36" s="53"/>
      <c r="Y36" s="53"/>
      <c r="Z36" s="53"/>
      <c r="AA36" s="53"/>
      <c r="AB36" s="53"/>
      <c r="AC36" s="74" t="s">
        <v>18</v>
      </c>
      <c r="AD36" s="147" t="s">
        <v>86</v>
      </c>
      <c r="AE36" s="148" t="s">
        <v>86</v>
      </c>
      <c r="AF36" s="148" t="s">
        <v>86</v>
      </c>
      <c r="AG36" s="148" t="s">
        <v>86</v>
      </c>
      <c r="AH36" s="149" t="s">
        <v>86</v>
      </c>
      <c r="AI36" s="147" t="s">
        <v>86</v>
      </c>
      <c r="AJ36" s="148" t="s">
        <v>86</v>
      </c>
      <c r="AK36" s="148" t="s">
        <v>86</v>
      </c>
      <c r="AL36" s="148" t="s">
        <v>86</v>
      </c>
      <c r="AM36" s="149" t="s">
        <v>86</v>
      </c>
      <c r="AN36" s="147" t="s">
        <v>86</v>
      </c>
      <c r="AO36" s="148" t="s">
        <v>86</v>
      </c>
      <c r="AP36" s="148" t="s">
        <v>86</v>
      </c>
      <c r="AQ36" s="148" t="s">
        <v>86</v>
      </c>
      <c r="AR36" s="149" t="s">
        <v>86</v>
      </c>
      <c r="AS36" s="147" t="s">
        <v>86</v>
      </c>
      <c r="AT36" s="148" t="s">
        <v>86</v>
      </c>
      <c r="AU36" s="148" t="s">
        <v>86</v>
      </c>
      <c r="AV36" s="148" t="s">
        <v>86</v>
      </c>
      <c r="AW36" s="149" t="s">
        <v>86</v>
      </c>
      <c r="AX36" s="147" t="s">
        <v>86</v>
      </c>
      <c r="AY36" s="148" t="s">
        <v>86</v>
      </c>
      <c r="AZ36" s="148" t="s">
        <v>86</v>
      </c>
      <c r="BA36" s="148" t="s">
        <v>86</v>
      </c>
      <c r="BB36" s="149" t="s">
        <v>86</v>
      </c>
      <c r="BC36" s="147" t="s">
        <v>86</v>
      </c>
      <c r="BD36" s="148" t="s">
        <v>86</v>
      </c>
      <c r="BE36" s="148" t="s">
        <v>86</v>
      </c>
      <c r="BF36" s="148" t="s">
        <v>86</v>
      </c>
      <c r="BG36" s="149" t="s">
        <v>86</v>
      </c>
      <c r="BH36" s="147" t="s">
        <v>86</v>
      </c>
      <c r="BI36" s="148" t="s">
        <v>86</v>
      </c>
      <c r="BJ36" s="148" t="s">
        <v>86</v>
      </c>
      <c r="BK36" s="148" t="s">
        <v>86</v>
      </c>
      <c r="BL36" s="149" t="s">
        <v>86</v>
      </c>
      <c r="BM36" s="147" t="s">
        <v>86</v>
      </c>
      <c r="BN36" s="148" t="s">
        <v>86</v>
      </c>
      <c r="BO36" s="148" t="s">
        <v>86</v>
      </c>
      <c r="BP36" s="148" t="s">
        <v>86</v>
      </c>
      <c r="BQ36" s="149" t="s">
        <v>86</v>
      </c>
    </row>
    <row r="37" spans="1:69" ht="33" customHeight="1" outlineLevel="1" x14ac:dyDescent="0.25">
      <c r="A37" s="80" t="s">
        <v>19</v>
      </c>
      <c r="B37" s="80" t="s">
        <v>73</v>
      </c>
      <c r="C37" s="80" t="s">
        <v>75</v>
      </c>
      <c r="D37" s="339" t="s">
        <v>67</v>
      </c>
      <c r="E37" s="340"/>
      <c r="F37" s="80" t="s">
        <v>58</v>
      </c>
      <c r="G37" s="80" t="s">
        <v>68</v>
      </c>
      <c r="H37" s="80" t="s">
        <v>86</v>
      </c>
      <c r="I37" s="80" t="s">
        <v>86</v>
      </c>
      <c r="J37" s="80" t="s">
        <v>86</v>
      </c>
      <c r="K37" s="80" t="s">
        <v>86</v>
      </c>
      <c r="L37" s="80" t="s">
        <v>86</v>
      </c>
      <c r="M37" s="39">
        <v>0</v>
      </c>
      <c r="N37" s="40">
        <v>0</v>
      </c>
      <c r="O37" s="39">
        <v>0</v>
      </c>
      <c r="P37" s="40">
        <v>15000</v>
      </c>
      <c r="Q37" s="39"/>
      <c r="R37" s="42">
        <v>0</v>
      </c>
      <c r="S37" s="46">
        <v>0</v>
      </c>
      <c r="T37" s="42">
        <v>0</v>
      </c>
      <c r="U37" s="46">
        <v>15000</v>
      </c>
      <c r="V37" s="42"/>
      <c r="W37" s="53"/>
      <c r="X37" s="53"/>
      <c r="Y37" s="53"/>
      <c r="Z37" s="53"/>
      <c r="AA37" s="53"/>
      <c r="AB37" s="53"/>
      <c r="AC37" s="74" t="s">
        <v>19</v>
      </c>
      <c r="AD37" s="147" t="s">
        <v>86</v>
      </c>
      <c r="AE37" s="148" t="s">
        <v>86</v>
      </c>
      <c r="AF37" s="148" t="s">
        <v>86</v>
      </c>
      <c r="AG37" s="148" t="s">
        <v>86</v>
      </c>
      <c r="AH37" s="149" t="s">
        <v>86</v>
      </c>
      <c r="AI37" s="147" t="s">
        <v>86</v>
      </c>
      <c r="AJ37" s="148" t="s">
        <v>86</v>
      </c>
      <c r="AK37" s="148" t="s">
        <v>86</v>
      </c>
      <c r="AL37" s="148" t="s">
        <v>86</v>
      </c>
      <c r="AM37" s="149" t="s">
        <v>86</v>
      </c>
      <c r="AN37" s="147" t="s">
        <v>86</v>
      </c>
      <c r="AO37" s="148" t="s">
        <v>86</v>
      </c>
      <c r="AP37" s="148" t="s">
        <v>86</v>
      </c>
      <c r="AQ37" s="148" t="s">
        <v>86</v>
      </c>
      <c r="AR37" s="149" t="s">
        <v>86</v>
      </c>
      <c r="AS37" s="147" t="s">
        <v>86</v>
      </c>
      <c r="AT37" s="148" t="s">
        <v>86</v>
      </c>
      <c r="AU37" s="148" t="s">
        <v>86</v>
      </c>
      <c r="AV37" s="148" t="s">
        <v>86</v>
      </c>
      <c r="AW37" s="149" t="s">
        <v>86</v>
      </c>
      <c r="AX37" s="147" t="s">
        <v>86</v>
      </c>
      <c r="AY37" s="148" t="s">
        <v>86</v>
      </c>
      <c r="AZ37" s="148" t="s">
        <v>86</v>
      </c>
      <c r="BA37" s="148" t="s">
        <v>86</v>
      </c>
      <c r="BB37" s="149" t="s">
        <v>86</v>
      </c>
      <c r="BC37" s="147" t="s">
        <v>86</v>
      </c>
      <c r="BD37" s="148" t="s">
        <v>86</v>
      </c>
      <c r="BE37" s="148" t="s">
        <v>86</v>
      </c>
      <c r="BF37" s="148" t="s">
        <v>86</v>
      </c>
      <c r="BG37" s="149" t="s">
        <v>86</v>
      </c>
      <c r="BH37" s="147" t="s">
        <v>86</v>
      </c>
      <c r="BI37" s="148" t="s">
        <v>86</v>
      </c>
      <c r="BJ37" s="148" t="s">
        <v>86</v>
      </c>
      <c r="BK37" s="148" t="s">
        <v>86</v>
      </c>
      <c r="BL37" s="149" t="s">
        <v>86</v>
      </c>
      <c r="BM37" s="147" t="s">
        <v>86</v>
      </c>
      <c r="BN37" s="148" t="s">
        <v>86</v>
      </c>
      <c r="BO37" s="148" t="s">
        <v>86</v>
      </c>
      <c r="BP37" s="148" t="s">
        <v>86</v>
      </c>
      <c r="BQ37" s="149" t="s">
        <v>86</v>
      </c>
    </row>
    <row r="38" spans="1:69" ht="80.25" customHeight="1" outlineLevel="1" x14ac:dyDescent="0.25">
      <c r="A38" s="80" t="s">
        <v>89</v>
      </c>
      <c r="B38" s="80" t="s">
        <v>226</v>
      </c>
      <c r="C38" s="80" t="s">
        <v>165</v>
      </c>
      <c r="D38" s="339" t="s">
        <v>67</v>
      </c>
      <c r="E38" s="340"/>
      <c r="F38" s="80" t="s">
        <v>163</v>
      </c>
      <c r="G38" s="80" t="s">
        <v>117</v>
      </c>
      <c r="H38" s="196">
        <v>35000</v>
      </c>
      <c r="I38" s="196" t="s">
        <v>86</v>
      </c>
      <c r="J38" s="196" t="s">
        <v>86</v>
      </c>
      <c r="K38" s="196" t="s">
        <v>86</v>
      </c>
      <c r="L38" s="196" t="s">
        <v>86</v>
      </c>
      <c r="M38" s="39">
        <v>35000</v>
      </c>
      <c r="N38" s="36">
        <v>0</v>
      </c>
      <c r="O38" s="35">
        <v>0</v>
      </c>
      <c r="P38" s="36">
        <v>5000</v>
      </c>
      <c r="Q38" s="35">
        <v>0</v>
      </c>
      <c r="R38" s="122" t="s">
        <v>86</v>
      </c>
      <c r="S38" s="121" t="s">
        <v>86</v>
      </c>
      <c r="T38" s="122" t="s">
        <v>86</v>
      </c>
      <c r="U38" s="121" t="s">
        <v>86</v>
      </c>
      <c r="V38" s="122" t="s">
        <v>86</v>
      </c>
      <c r="W38" s="53"/>
      <c r="X38" s="53"/>
      <c r="Y38" s="53"/>
      <c r="Z38" s="53"/>
      <c r="AA38" s="53"/>
      <c r="AB38" s="53"/>
      <c r="AC38" s="74" t="s">
        <v>19</v>
      </c>
      <c r="AD38" s="136">
        <v>650</v>
      </c>
      <c r="AE38" s="148" t="s">
        <v>86</v>
      </c>
      <c r="AF38" s="148" t="s">
        <v>86</v>
      </c>
      <c r="AG38" s="148" t="s">
        <v>86</v>
      </c>
      <c r="AH38" s="138" t="s">
        <v>86</v>
      </c>
      <c r="AI38" s="136" t="s">
        <v>86</v>
      </c>
      <c r="AJ38" s="137" t="s">
        <v>86</v>
      </c>
      <c r="AK38" s="137" t="s">
        <v>86</v>
      </c>
      <c r="AL38" s="137" t="s">
        <v>86</v>
      </c>
      <c r="AM38" s="138" t="s">
        <v>86</v>
      </c>
      <c r="AN38" s="136" t="s">
        <v>86</v>
      </c>
      <c r="AO38" s="137" t="s">
        <v>86</v>
      </c>
      <c r="AP38" s="137" t="s">
        <v>86</v>
      </c>
      <c r="AQ38" s="137" t="s">
        <v>86</v>
      </c>
      <c r="AR38" s="138" t="s">
        <v>86</v>
      </c>
      <c r="AS38" s="136" t="s">
        <v>86</v>
      </c>
      <c r="AT38" s="137" t="s">
        <v>86</v>
      </c>
      <c r="AU38" s="137" t="s">
        <v>86</v>
      </c>
      <c r="AV38" s="137" t="s">
        <v>86</v>
      </c>
      <c r="AW38" s="138" t="s">
        <v>86</v>
      </c>
      <c r="AX38" s="136" t="s">
        <v>86</v>
      </c>
      <c r="AY38" s="137" t="s">
        <v>86</v>
      </c>
      <c r="AZ38" s="137" t="s">
        <v>86</v>
      </c>
      <c r="BA38" s="137" t="s">
        <v>86</v>
      </c>
      <c r="BB38" s="138" t="s">
        <v>86</v>
      </c>
      <c r="BC38" s="136">
        <v>34350</v>
      </c>
      <c r="BD38" s="137" t="s">
        <v>86</v>
      </c>
      <c r="BE38" s="137" t="s">
        <v>86</v>
      </c>
      <c r="BF38" s="137">
        <v>5000</v>
      </c>
      <c r="BG38" s="138" t="s">
        <v>86</v>
      </c>
      <c r="BH38" s="136" t="s">
        <v>86</v>
      </c>
      <c r="BI38" s="137" t="s">
        <v>86</v>
      </c>
      <c r="BJ38" s="137" t="s">
        <v>86</v>
      </c>
      <c r="BK38" s="137" t="s">
        <v>86</v>
      </c>
      <c r="BL38" s="138" t="s">
        <v>86</v>
      </c>
      <c r="BM38" s="136" t="s">
        <v>227</v>
      </c>
      <c r="BN38" s="137" t="s">
        <v>86</v>
      </c>
      <c r="BO38" s="137" t="s">
        <v>86</v>
      </c>
      <c r="BP38" s="137" t="s">
        <v>86</v>
      </c>
      <c r="BQ38" s="138" t="s">
        <v>86</v>
      </c>
    </row>
    <row r="39" spans="1:69" ht="31.5" customHeight="1" outlineLevel="1" x14ac:dyDescent="0.35">
      <c r="A39" s="53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53"/>
      <c r="M39" s="53"/>
      <c r="N39" s="53"/>
      <c r="O39" s="53"/>
      <c r="P39" s="53"/>
      <c r="Q39" s="53"/>
      <c r="R39" s="7"/>
      <c r="S39" s="7"/>
      <c r="T39" s="53"/>
      <c r="U39" s="53"/>
      <c r="V39" s="53"/>
      <c r="W39" s="53"/>
      <c r="X39" s="106"/>
      <c r="Y39" s="107"/>
      <c r="Z39" s="107"/>
      <c r="AA39" s="107"/>
      <c r="AB39" s="107"/>
      <c r="AC39" s="107"/>
      <c r="AD39" s="107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7"/>
      <c r="BL39" s="77"/>
      <c r="BM39" s="77"/>
    </row>
    <row r="40" spans="1:69" ht="21" outlineLevel="1" x14ac:dyDescent="0.35">
      <c r="A40" s="116" t="s">
        <v>72</v>
      </c>
      <c r="B40" s="116"/>
      <c r="C40" s="116"/>
      <c r="D40" s="116"/>
      <c r="E40" s="116"/>
      <c r="F40" s="116"/>
      <c r="G40" s="116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53"/>
      <c r="S40" s="53"/>
      <c r="T40" s="53"/>
      <c r="U40" s="53"/>
      <c r="V40" s="53"/>
      <c r="W40" s="53"/>
      <c r="X40" s="77"/>
      <c r="Y40" s="252"/>
      <c r="Z40" s="252"/>
      <c r="AA40" s="252"/>
      <c r="AH40" s="252"/>
      <c r="AI40" s="252"/>
      <c r="AJ40" s="252"/>
      <c r="AK40" s="252"/>
      <c r="AL40" s="252"/>
      <c r="AM40" s="252"/>
      <c r="AN40" s="307"/>
      <c r="AO40" s="307"/>
      <c r="AP40" s="307"/>
      <c r="AQ40" s="307"/>
      <c r="AR40" s="307"/>
      <c r="AS40" s="307"/>
      <c r="AT40" s="307"/>
      <c r="AU40" s="307"/>
      <c r="AV40" s="307"/>
      <c r="AW40" s="307"/>
      <c r="AX40" s="307"/>
      <c r="AY40" s="307"/>
      <c r="AZ40" s="307"/>
      <c r="BA40" s="307"/>
      <c r="BB40" s="307"/>
      <c r="BC40" s="307"/>
      <c r="BD40" s="307"/>
      <c r="BE40" s="307"/>
      <c r="BF40" s="307"/>
      <c r="BG40" s="307"/>
      <c r="BH40" s="307"/>
      <c r="BI40" s="307"/>
      <c r="BJ40" s="307"/>
      <c r="BK40" s="307"/>
      <c r="BL40" s="307"/>
      <c r="BM40" s="77"/>
    </row>
    <row r="41" spans="1:69" x14ac:dyDescent="0.25">
      <c r="A41" s="305" t="s">
        <v>102</v>
      </c>
      <c r="B41" s="306"/>
      <c r="C41" s="306"/>
      <c r="D41" s="306"/>
      <c r="E41" s="306"/>
      <c r="F41" s="306"/>
      <c r="G41" s="306"/>
      <c r="AT41" s="53"/>
      <c r="AU41" s="53"/>
      <c r="AV41" s="53"/>
    </row>
    <row r="42" spans="1:69" x14ac:dyDescent="0.25">
      <c r="A42" s="303" t="s">
        <v>171</v>
      </c>
      <c r="B42" s="304"/>
      <c r="C42" s="304"/>
      <c r="D42" s="304"/>
      <c r="E42" s="304"/>
      <c r="F42" s="304"/>
      <c r="G42" s="304"/>
      <c r="AS42" s="225"/>
      <c r="AT42" s="77"/>
      <c r="AU42" s="77"/>
      <c r="AV42" s="77"/>
      <c r="AW42" s="225"/>
      <c r="AX42" s="225"/>
      <c r="AY42" s="225"/>
      <c r="AZ42" s="225"/>
      <c r="BA42" s="225"/>
      <c r="BB42" s="225"/>
      <c r="BC42" s="225"/>
      <c r="BD42" s="225"/>
      <c r="BE42" s="225"/>
      <c r="BF42" s="225"/>
      <c r="BG42" s="225"/>
    </row>
    <row r="43" spans="1:69" x14ac:dyDescent="0.25">
      <c r="A43" s="305" t="s">
        <v>172</v>
      </c>
      <c r="B43" s="306"/>
      <c r="C43" s="306"/>
      <c r="D43" s="306"/>
      <c r="E43" s="306"/>
      <c r="F43" s="306"/>
      <c r="G43" s="306"/>
      <c r="AS43" s="225"/>
      <c r="AT43" s="77"/>
      <c r="AU43" s="226"/>
      <c r="AV43" s="77"/>
      <c r="AW43" s="225"/>
      <c r="AX43" s="225"/>
      <c r="AY43" s="225"/>
      <c r="AZ43" s="225"/>
      <c r="BA43" s="225"/>
      <c r="BB43" s="225"/>
      <c r="BC43" s="225"/>
      <c r="BD43" s="225"/>
      <c r="BE43" s="225"/>
      <c r="BF43" s="225"/>
      <c r="BG43" s="225"/>
    </row>
    <row r="44" spans="1:69" outlineLevel="1" x14ac:dyDescent="0.25">
      <c r="A44" s="303" t="s">
        <v>106</v>
      </c>
      <c r="B44" s="304"/>
      <c r="C44" s="304"/>
      <c r="D44" s="304"/>
      <c r="E44" s="304"/>
      <c r="F44" s="304"/>
      <c r="G44" s="304"/>
      <c r="H44" s="113"/>
      <c r="I44" s="113"/>
      <c r="J44" s="113"/>
      <c r="K44" s="53"/>
      <c r="L44" s="53"/>
      <c r="M44" s="53"/>
      <c r="N44" s="53"/>
      <c r="O44" s="53"/>
      <c r="P44" s="53"/>
      <c r="Q44" s="108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226"/>
      <c r="AV44" s="77"/>
      <c r="AW44" s="109"/>
      <c r="AX44" s="109"/>
      <c r="AY44" s="109"/>
      <c r="AZ44" s="109"/>
      <c r="BA44" s="109"/>
      <c r="BB44" s="109"/>
      <c r="BC44" s="109"/>
      <c r="BD44" s="109"/>
      <c r="BE44" s="109"/>
      <c r="BF44" s="77"/>
      <c r="BG44" s="225"/>
    </row>
    <row r="45" spans="1:69" outlineLevel="1" x14ac:dyDescent="0.25">
      <c r="A45" s="305" t="s">
        <v>107</v>
      </c>
      <c r="B45" s="306"/>
      <c r="C45" s="306"/>
      <c r="D45" s="306"/>
      <c r="E45" s="306"/>
      <c r="F45" s="306"/>
      <c r="G45" s="306"/>
      <c r="H45" s="112"/>
      <c r="I45" s="112"/>
      <c r="J45" s="112"/>
      <c r="K45" s="53"/>
      <c r="L45" s="53"/>
      <c r="M45" s="53"/>
      <c r="N45" s="53"/>
      <c r="O45" s="53"/>
      <c r="P45" s="53"/>
      <c r="Q45" s="108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226"/>
      <c r="AV45" s="77"/>
      <c r="AW45" s="110"/>
      <c r="AX45" s="110"/>
      <c r="AY45" s="110"/>
      <c r="AZ45" s="110"/>
      <c r="BA45" s="110"/>
      <c r="BB45" s="110"/>
      <c r="BC45" s="110"/>
      <c r="BD45" s="110"/>
      <c r="BE45" s="110"/>
      <c r="BF45" s="77"/>
      <c r="BG45" s="225"/>
    </row>
    <row r="46" spans="1:69" x14ac:dyDescent="0.25">
      <c r="A46" s="303" t="s">
        <v>111</v>
      </c>
      <c r="B46" s="304"/>
      <c r="C46" s="304"/>
      <c r="D46" s="304"/>
      <c r="E46" s="304"/>
      <c r="F46" s="304"/>
      <c r="G46" s="304"/>
      <c r="AS46" s="225"/>
      <c r="AT46" s="77"/>
      <c r="AU46" s="226"/>
      <c r="AV46" s="77"/>
      <c r="AW46" s="225"/>
      <c r="AX46" s="225"/>
      <c r="AY46" s="225"/>
      <c r="AZ46" s="225"/>
      <c r="BA46" s="225"/>
      <c r="BB46" s="225"/>
      <c r="BC46" s="225"/>
      <c r="BD46" s="225"/>
      <c r="BE46" s="225"/>
      <c r="BF46" s="225"/>
      <c r="BG46" s="225"/>
    </row>
    <row r="47" spans="1:69" x14ac:dyDescent="0.25">
      <c r="A47" t="s">
        <v>118</v>
      </c>
      <c r="AS47" s="225"/>
      <c r="AT47" s="77"/>
      <c r="AU47" s="226"/>
      <c r="AV47" s="77"/>
      <c r="AW47" s="225"/>
      <c r="AX47" s="225"/>
      <c r="AY47" s="225"/>
      <c r="AZ47" s="225"/>
      <c r="BA47" s="225"/>
      <c r="BB47" s="225"/>
      <c r="BC47" s="225"/>
      <c r="BD47" s="225"/>
      <c r="BE47" s="225"/>
      <c r="BF47" s="225"/>
      <c r="BG47" s="225"/>
    </row>
    <row r="48" spans="1:69" ht="21" x14ac:dyDescent="0.25">
      <c r="AH48" s="252"/>
      <c r="AS48" s="225"/>
      <c r="AT48" s="77"/>
      <c r="AU48" s="226"/>
      <c r="AV48" s="77"/>
      <c r="AW48" s="225"/>
      <c r="AX48" s="225"/>
      <c r="AY48" s="225"/>
      <c r="AZ48" s="225"/>
      <c r="BA48" s="225"/>
      <c r="BB48" s="225"/>
      <c r="BC48" s="225"/>
      <c r="BD48" s="225"/>
      <c r="BE48" s="225"/>
      <c r="BF48" s="225"/>
      <c r="BG48" s="225"/>
    </row>
    <row r="49" spans="45:59" x14ac:dyDescent="0.25">
      <c r="AS49" s="225"/>
      <c r="AT49" s="77"/>
      <c r="AU49" s="226"/>
      <c r="AV49" s="77"/>
      <c r="AW49" s="225"/>
      <c r="AX49" s="225"/>
      <c r="AY49" s="225"/>
      <c r="AZ49" s="225"/>
      <c r="BA49" s="225"/>
      <c r="BB49" s="225"/>
      <c r="BC49" s="225"/>
      <c r="BD49" s="225"/>
      <c r="BE49" s="225"/>
      <c r="BF49" s="225"/>
      <c r="BG49" s="225"/>
    </row>
    <row r="50" spans="45:59" x14ac:dyDescent="0.25">
      <c r="AS50" s="225"/>
      <c r="AT50" s="77"/>
      <c r="AU50" s="226"/>
      <c r="AV50" s="77"/>
      <c r="AW50" s="225"/>
      <c r="AX50" s="225"/>
      <c r="AY50" s="225"/>
      <c r="AZ50" s="225"/>
      <c r="BA50" s="225"/>
      <c r="BB50" s="225"/>
      <c r="BC50" s="225"/>
      <c r="BD50" s="225"/>
      <c r="BE50" s="225"/>
      <c r="BF50" s="225"/>
      <c r="BG50" s="225"/>
    </row>
    <row r="51" spans="45:59" x14ac:dyDescent="0.25">
      <c r="AS51" s="225"/>
      <c r="AT51" s="77"/>
      <c r="AU51" s="77"/>
      <c r="AV51" s="77"/>
      <c r="AW51" s="225"/>
      <c r="AX51" s="225"/>
      <c r="AY51" s="225"/>
      <c r="AZ51" s="225"/>
      <c r="BA51" s="225"/>
      <c r="BB51" s="225"/>
      <c r="BC51" s="225"/>
      <c r="BD51" s="225"/>
      <c r="BE51" s="225"/>
      <c r="BF51" s="225"/>
      <c r="BG51" s="225"/>
    </row>
  </sheetData>
  <mergeCells count="73">
    <mergeCell ref="A46:G46"/>
    <mergeCell ref="D3:E3"/>
    <mergeCell ref="D4:E4"/>
    <mergeCell ref="D5:E5"/>
    <mergeCell ref="A7:Q7"/>
    <mergeCell ref="Q9:V9"/>
    <mergeCell ref="A14:G14"/>
    <mergeCell ref="M14:Q14"/>
    <mergeCell ref="D17:E17"/>
    <mergeCell ref="D16:E16"/>
    <mergeCell ref="A27:Q27"/>
    <mergeCell ref="D35:E35"/>
    <mergeCell ref="R34:V34"/>
    <mergeCell ref="A24:G24"/>
    <mergeCell ref="H34:L34"/>
    <mergeCell ref="A25:G25"/>
    <mergeCell ref="A1:W1"/>
    <mergeCell ref="A2:G2"/>
    <mergeCell ref="H2:K2"/>
    <mergeCell ref="L2:O2"/>
    <mergeCell ref="P2:S2"/>
    <mergeCell ref="T2:W2"/>
    <mergeCell ref="BH14:BL14"/>
    <mergeCell ref="BM14:BQ14"/>
    <mergeCell ref="D15:E15"/>
    <mergeCell ref="AX14:BB14"/>
    <mergeCell ref="BC14:BG14"/>
    <mergeCell ref="AD14:AH14"/>
    <mergeCell ref="AI14:AM14"/>
    <mergeCell ref="AN14:AR14"/>
    <mergeCell ref="AS14:AW14"/>
    <mergeCell ref="R14:V14"/>
    <mergeCell ref="H14:L14"/>
    <mergeCell ref="BC19:BG19"/>
    <mergeCell ref="BH19:BL19"/>
    <mergeCell ref="A21:G21"/>
    <mergeCell ref="A23:G23"/>
    <mergeCell ref="Y19:AC19"/>
    <mergeCell ref="AD19:AH19"/>
    <mergeCell ref="AI19:AM19"/>
    <mergeCell ref="AN19:AR19"/>
    <mergeCell ref="AS19:AW19"/>
    <mergeCell ref="AX19:BB19"/>
    <mergeCell ref="A20:G20"/>
    <mergeCell ref="A22:G22"/>
    <mergeCell ref="BH34:BL34"/>
    <mergeCell ref="BM34:BQ34"/>
    <mergeCell ref="AS34:AW34"/>
    <mergeCell ref="AX34:BB34"/>
    <mergeCell ref="BC34:BG34"/>
    <mergeCell ref="F29:G29"/>
    <mergeCell ref="Q29:V29"/>
    <mergeCell ref="F30:G30"/>
    <mergeCell ref="F31:G31"/>
    <mergeCell ref="F32:G32"/>
    <mergeCell ref="D36:E36"/>
    <mergeCell ref="AN34:AR34"/>
    <mergeCell ref="A34:G34"/>
    <mergeCell ref="M34:Q34"/>
    <mergeCell ref="AD34:AH34"/>
    <mergeCell ref="AI34:AM34"/>
    <mergeCell ref="D38:E38"/>
    <mergeCell ref="D37:E37"/>
    <mergeCell ref="BC40:BG40"/>
    <mergeCell ref="BH40:BL40"/>
    <mergeCell ref="A45:G45"/>
    <mergeCell ref="AS40:AW40"/>
    <mergeCell ref="AX40:BB40"/>
    <mergeCell ref="A44:G44"/>
    <mergeCell ref="AN40:AR40"/>
    <mergeCell ref="A41:G41"/>
    <mergeCell ref="A42:G42"/>
    <mergeCell ref="A43:G43"/>
  </mergeCells>
  <pageMargins left="0.7" right="0.7" top="0.75" bottom="0.75" header="0.3" footer="0.3"/>
  <pageSetup paperSize="8" scale="59" fitToWidth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P39"/>
  <sheetViews>
    <sheetView showGridLines="0" topLeftCell="A22" zoomScale="90" zoomScaleNormal="90" workbookViewId="0">
      <selection activeCell="C28" sqref="C28"/>
    </sheetView>
  </sheetViews>
  <sheetFormatPr defaultColWidth="9.28515625" defaultRowHeight="15" outlineLevelRow="1" x14ac:dyDescent="0.25"/>
  <cols>
    <col min="1" max="1" width="21.5703125" customWidth="1"/>
    <col min="2" max="2" width="25" bestFit="1" customWidth="1"/>
    <col min="3" max="3" width="29.42578125" customWidth="1"/>
    <col min="4" max="4" width="24.28515625" customWidth="1"/>
    <col min="5" max="5" width="12" bestFit="1" customWidth="1"/>
    <col min="6" max="6" width="7.7109375" bestFit="1" customWidth="1"/>
    <col min="7" max="7" width="31.7109375" customWidth="1"/>
    <col min="8" max="8" width="11.5703125" bestFit="1" customWidth="1"/>
    <col min="9" max="9" width="9.28515625" bestFit="1" customWidth="1"/>
    <col min="10" max="10" width="13.5703125" bestFit="1" customWidth="1"/>
    <col min="11" max="11" width="9.28515625" bestFit="1" customWidth="1"/>
    <col min="12" max="12" width="11.5703125" bestFit="1" customWidth="1"/>
    <col min="13" max="13" width="13.42578125" customWidth="1"/>
    <col min="14" max="14" width="13" customWidth="1"/>
    <col min="15" max="15" width="12.42578125" customWidth="1"/>
    <col min="16" max="19" width="9.42578125" customWidth="1"/>
    <col min="20" max="20" width="11.5703125" bestFit="1" customWidth="1"/>
    <col min="21" max="22" width="9.28515625" bestFit="1" customWidth="1"/>
    <col min="23" max="44" width="8" customWidth="1"/>
  </cols>
  <sheetData>
    <row r="1" spans="1:68" ht="60" customHeight="1" x14ac:dyDescent="0.25">
      <c r="A1" s="358" t="s">
        <v>218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53"/>
      <c r="BI1" s="53"/>
      <c r="BJ1" s="53"/>
      <c r="BK1" s="53"/>
    </row>
    <row r="2" spans="1:68" ht="25.15" customHeight="1" x14ac:dyDescent="0.25">
      <c r="A2" s="360" t="s">
        <v>78</v>
      </c>
      <c r="B2" s="330"/>
      <c r="C2" s="330"/>
      <c r="D2" s="330"/>
      <c r="E2" s="330"/>
      <c r="F2" s="330"/>
      <c r="G2" s="330"/>
      <c r="H2" s="331" t="s">
        <v>4</v>
      </c>
      <c r="I2" s="332"/>
      <c r="J2" s="332"/>
      <c r="K2" s="333"/>
      <c r="L2" s="334" t="s">
        <v>29</v>
      </c>
      <c r="M2" s="335"/>
      <c r="N2" s="335"/>
      <c r="O2" s="336"/>
      <c r="P2" s="331" t="s">
        <v>28</v>
      </c>
      <c r="Q2" s="332"/>
      <c r="R2" s="332"/>
      <c r="S2" s="333"/>
      <c r="T2" s="337" t="s">
        <v>22</v>
      </c>
      <c r="U2" s="335"/>
      <c r="V2" s="335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</row>
    <row r="3" spans="1:68" ht="72" customHeight="1" thickBot="1" x14ac:dyDescent="0.3">
      <c r="A3" s="253" t="s">
        <v>6</v>
      </c>
      <c r="B3" s="37" t="s">
        <v>7</v>
      </c>
      <c r="C3" s="37" t="s">
        <v>3</v>
      </c>
      <c r="D3" s="311" t="s">
        <v>33</v>
      </c>
      <c r="E3" s="312"/>
      <c r="F3" s="38" t="s">
        <v>10</v>
      </c>
      <c r="G3" s="235" t="s">
        <v>0</v>
      </c>
      <c r="H3" s="93" t="s">
        <v>1</v>
      </c>
      <c r="I3" s="34" t="s">
        <v>36</v>
      </c>
      <c r="J3" s="47" t="s">
        <v>175</v>
      </c>
      <c r="K3" s="92" t="s">
        <v>53</v>
      </c>
      <c r="L3" s="93" t="s">
        <v>1</v>
      </c>
      <c r="M3" s="34" t="s">
        <v>36</v>
      </c>
      <c r="N3" s="47" t="s">
        <v>175</v>
      </c>
      <c r="O3" s="92" t="s">
        <v>53</v>
      </c>
      <c r="P3" s="93" t="s">
        <v>1</v>
      </c>
      <c r="Q3" s="34" t="s">
        <v>36</v>
      </c>
      <c r="R3" s="47" t="s">
        <v>175</v>
      </c>
      <c r="S3" s="92" t="s">
        <v>53</v>
      </c>
      <c r="T3" s="93" t="s">
        <v>1</v>
      </c>
      <c r="U3" s="34" t="s">
        <v>36</v>
      </c>
      <c r="V3" s="47" t="s">
        <v>175</v>
      </c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</row>
    <row r="4" spans="1:68" s="1" customFormat="1" ht="82.5" customHeight="1" thickBot="1" x14ac:dyDescent="0.3">
      <c r="A4" s="254" t="s">
        <v>18</v>
      </c>
      <c r="B4" s="9" t="s">
        <v>87</v>
      </c>
      <c r="C4" s="9" t="s">
        <v>88</v>
      </c>
      <c r="D4" s="313" t="s">
        <v>119</v>
      </c>
      <c r="E4" s="314"/>
      <c r="F4" s="9" t="s">
        <v>20</v>
      </c>
      <c r="G4" s="89" t="s">
        <v>57</v>
      </c>
      <c r="H4" s="273">
        <v>0</v>
      </c>
      <c r="I4" s="165" t="s">
        <v>205</v>
      </c>
      <c r="J4" s="166" t="s">
        <v>86</v>
      </c>
      <c r="K4" s="167" t="s">
        <v>86</v>
      </c>
      <c r="L4" s="162" t="s">
        <v>86</v>
      </c>
      <c r="M4" s="160" t="s">
        <v>86</v>
      </c>
      <c r="N4" s="143" t="s">
        <v>86</v>
      </c>
      <c r="O4" s="163" t="s">
        <v>86</v>
      </c>
      <c r="P4" s="154" t="s">
        <v>86</v>
      </c>
      <c r="Q4" s="160" t="s">
        <v>86</v>
      </c>
      <c r="R4" s="143" t="s">
        <v>86</v>
      </c>
      <c r="S4" s="161" t="s">
        <v>86</v>
      </c>
      <c r="T4" s="164" t="s">
        <v>86</v>
      </c>
      <c r="U4" s="168">
        <v>1</v>
      </c>
      <c r="V4" s="169">
        <v>1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</row>
    <row r="5" spans="1:68" s="12" customFormat="1" ht="82.5" customHeight="1" thickBot="1" x14ac:dyDescent="0.3">
      <c r="A5" s="255" t="s">
        <v>19</v>
      </c>
      <c r="B5" s="256" t="s">
        <v>168</v>
      </c>
      <c r="C5" s="256" t="s">
        <v>96</v>
      </c>
      <c r="D5" s="361" t="s">
        <v>79</v>
      </c>
      <c r="E5" s="362"/>
      <c r="F5" s="256" t="s">
        <v>97</v>
      </c>
      <c r="G5" s="257" t="s">
        <v>189</v>
      </c>
      <c r="H5" s="273">
        <v>0</v>
      </c>
      <c r="I5" s="277" t="s">
        <v>205</v>
      </c>
      <c r="J5" s="259" t="s">
        <v>86</v>
      </c>
      <c r="K5" s="260" t="s">
        <v>86</v>
      </c>
      <c r="L5" s="261" t="s">
        <v>86</v>
      </c>
      <c r="M5" s="262" t="s">
        <v>86</v>
      </c>
      <c r="N5" s="263" t="s">
        <v>86</v>
      </c>
      <c r="O5" s="264" t="s">
        <v>86</v>
      </c>
      <c r="P5" s="258" t="s">
        <v>86</v>
      </c>
      <c r="Q5" s="262" t="s">
        <v>86</v>
      </c>
      <c r="R5" s="263" t="s">
        <v>86</v>
      </c>
      <c r="S5" s="265" t="s">
        <v>86</v>
      </c>
      <c r="T5" s="266" t="s">
        <v>90</v>
      </c>
      <c r="U5" s="267" t="s">
        <v>91</v>
      </c>
      <c r="V5" s="268" t="s">
        <v>91</v>
      </c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</row>
    <row r="6" spans="1:68" s="1" customFormat="1" ht="27" customHeight="1" x14ac:dyDescent="0.25">
      <c r="A6" s="7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</row>
    <row r="7" spans="1:68" s="1" customFormat="1" ht="47.25" customHeight="1" x14ac:dyDescent="0.25">
      <c r="A7" s="326" t="s">
        <v>220</v>
      </c>
      <c r="B7" s="326"/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"/>
      <c r="BI7" s="7"/>
      <c r="BJ7" s="7"/>
      <c r="BK7" s="7"/>
    </row>
    <row r="8" spans="1:68" s="12" customFormat="1" ht="27.75" customHeight="1" x14ac:dyDescent="0.35">
      <c r="A8" s="85"/>
      <c r="B8" s="85"/>
      <c r="C8" s="85"/>
      <c r="D8" s="85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</row>
    <row r="9" spans="1:68" s="1" customFormat="1" ht="29.25" customHeight="1" outlineLevel="1" thickBot="1" x14ac:dyDescent="0.4">
      <c r="A9" s="53"/>
      <c r="B9" s="94" t="s">
        <v>9</v>
      </c>
      <c r="C9" s="95" t="s">
        <v>176</v>
      </c>
      <c r="D9" s="96">
        <v>2019</v>
      </c>
      <c r="E9" s="97">
        <v>2020</v>
      </c>
      <c r="F9" s="78"/>
      <c r="G9" s="78"/>
      <c r="H9" s="78"/>
      <c r="I9" s="78"/>
      <c r="J9" s="78"/>
      <c r="K9" s="78"/>
      <c r="L9" s="7"/>
      <c r="M9" s="7"/>
      <c r="N9" s="7"/>
      <c r="O9" s="327"/>
      <c r="P9" s="327"/>
      <c r="Q9" s="327"/>
      <c r="R9" s="327"/>
      <c r="S9" s="327"/>
      <c r="T9" s="32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</row>
    <row r="10" spans="1:68" s="1" customFormat="1" ht="23.65" customHeight="1" outlineLevel="1" x14ac:dyDescent="0.35">
      <c r="A10" s="7"/>
      <c r="B10" s="98" t="s">
        <v>26</v>
      </c>
      <c r="C10" s="99">
        <f>8*2500+10000+100000</f>
        <v>130000</v>
      </c>
      <c r="D10" s="100">
        <f>C10</f>
        <v>130000</v>
      </c>
      <c r="E10" s="101" t="s">
        <v>37</v>
      </c>
      <c r="F10" s="78"/>
      <c r="G10" s="78"/>
      <c r="H10" s="78"/>
      <c r="I10" s="78"/>
      <c r="J10" s="78"/>
      <c r="K10" s="78"/>
      <c r="L10" s="7"/>
      <c r="M10" s="7"/>
      <c r="N10" s="115"/>
      <c r="O10" s="115"/>
      <c r="P10" s="115"/>
      <c r="Q10" s="115"/>
      <c r="R10" s="115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</row>
    <row r="11" spans="1:68" s="1" customFormat="1" ht="23.65" customHeight="1" outlineLevel="1" x14ac:dyDescent="0.35">
      <c r="A11" s="53"/>
      <c r="B11" s="102" t="s">
        <v>24</v>
      </c>
      <c r="C11" s="103">
        <v>0</v>
      </c>
      <c r="D11" s="104">
        <v>0</v>
      </c>
      <c r="E11" s="105" t="s">
        <v>37</v>
      </c>
      <c r="F11" s="78"/>
      <c r="G11" s="78"/>
      <c r="H11" s="78"/>
      <c r="I11" s="78"/>
      <c r="J11" s="78"/>
      <c r="K11" s="78"/>
      <c r="L11" s="78"/>
      <c r="M11" s="78"/>
      <c r="N11" s="78"/>
      <c r="O11" s="7"/>
      <c r="P11" s="7"/>
      <c r="Q11" s="7"/>
      <c r="R11" s="115"/>
      <c r="S11" s="115"/>
      <c r="T11" s="115"/>
      <c r="U11" s="115"/>
      <c r="V11" s="115"/>
      <c r="W11" s="115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</row>
    <row r="12" spans="1:68" s="1" customFormat="1" ht="23.65" customHeight="1" outlineLevel="1" x14ac:dyDescent="0.35">
      <c r="A12" s="53"/>
      <c r="B12" s="102" t="s">
        <v>25</v>
      </c>
      <c r="C12" s="103">
        <v>1</v>
      </c>
      <c r="D12" s="104">
        <v>1</v>
      </c>
      <c r="E12" s="105" t="s">
        <v>37</v>
      </c>
      <c r="F12" s="78"/>
      <c r="G12" s="78"/>
      <c r="H12" s="78"/>
      <c r="I12" s="78"/>
      <c r="J12" s="78"/>
      <c r="K12" s="78"/>
      <c r="L12" s="78"/>
      <c r="M12" s="78"/>
      <c r="N12" s="78"/>
      <c r="O12" s="7"/>
      <c r="P12" s="7"/>
      <c r="Q12" s="7"/>
      <c r="R12" s="115"/>
      <c r="S12" s="115"/>
      <c r="T12" s="115"/>
      <c r="U12" s="115"/>
      <c r="V12" s="115"/>
      <c r="W12" s="115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</row>
    <row r="13" spans="1:68" s="1" customFormat="1" ht="19.5" customHeight="1" outlineLevel="1" x14ac:dyDescent="0.35">
      <c r="A13" s="53"/>
      <c r="B13" s="3"/>
      <c r="C13" s="3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"/>
      <c r="W13" s="7"/>
      <c r="X13" s="7"/>
      <c r="Y13" s="7"/>
      <c r="Z13" s="7"/>
      <c r="AA13" s="7"/>
      <c r="AB13" s="87" t="s">
        <v>197</v>
      </c>
      <c r="AC13" s="6"/>
      <c r="AD13" s="6"/>
      <c r="AE13" s="6"/>
      <c r="AF13" s="6"/>
      <c r="AG13" s="6"/>
      <c r="AH13" s="6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</row>
    <row r="14" spans="1:68" ht="21" outlineLevel="1" x14ac:dyDescent="0.35">
      <c r="A14" s="321" t="s">
        <v>77</v>
      </c>
      <c r="B14" s="321"/>
      <c r="C14" s="321"/>
      <c r="D14" s="321"/>
      <c r="E14" s="321"/>
      <c r="F14" s="321"/>
      <c r="G14" s="322"/>
      <c r="H14" s="318" t="s">
        <v>1</v>
      </c>
      <c r="I14" s="319"/>
      <c r="J14" s="319"/>
      <c r="K14" s="319"/>
      <c r="L14" s="320"/>
      <c r="M14" s="323" t="s">
        <v>177</v>
      </c>
      <c r="N14" s="324"/>
      <c r="O14" s="324"/>
      <c r="P14" s="324"/>
      <c r="Q14" s="325"/>
      <c r="R14" s="315" t="s">
        <v>190</v>
      </c>
      <c r="S14" s="316"/>
      <c r="T14" s="316"/>
      <c r="U14" s="316"/>
      <c r="V14" s="317"/>
      <c r="W14" s="53"/>
      <c r="X14" s="53"/>
      <c r="Y14" s="53"/>
      <c r="Z14" s="53"/>
      <c r="AA14" s="53"/>
      <c r="AB14" s="53"/>
      <c r="AC14" s="308" t="s">
        <v>11</v>
      </c>
      <c r="AD14" s="309"/>
      <c r="AE14" s="309"/>
      <c r="AF14" s="309"/>
      <c r="AG14" s="310"/>
      <c r="AH14" s="308" t="s">
        <v>16</v>
      </c>
      <c r="AI14" s="309"/>
      <c r="AJ14" s="309"/>
      <c r="AK14" s="309"/>
      <c r="AL14" s="310"/>
      <c r="AM14" s="308" t="s">
        <v>23</v>
      </c>
      <c r="AN14" s="309"/>
      <c r="AO14" s="309"/>
      <c r="AP14" s="309"/>
      <c r="AQ14" s="310"/>
      <c r="AR14" s="308" t="s">
        <v>13</v>
      </c>
      <c r="AS14" s="309"/>
      <c r="AT14" s="309"/>
      <c r="AU14" s="309"/>
      <c r="AV14" s="310"/>
      <c r="AW14" s="308" t="s">
        <v>14</v>
      </c>
      <c r="AX14" s="309"/>
      <c r="AY14" s="309"/>
      <c r="AZ14" s="309"/>
      <c r="BA14" s="310"/>
      <c r="BB14" s="308" t="s">
        <v>12</v>
      </c>
      <c r="BC14" s="309"/>
      <c r="BD14" s="309"/>
      <c r="BE14" s="309"/>
      <c r="BF14" s="310"/>
      <c r="BG14" s="308" t="s">
        <v>17</v>
      </c>
      <c r="BH14" s="309"/>
      <c r="BI14" s="309"/>
      <c r="BJ14" s="309"/>
      <c r="BK14" s="310"/>
      <c r="BL14" s="308" t="s">
        <v>15</v>
      </c>
      <c r="BM14" s="309"/>
      <c r="BN14" s="309"/>
      <c r="BO14" s="309"/>
      <c r="BP14" s="310"/>
    </row>
    <row r="15" spans="1:68" ht="29.65" customHeight="1" outlineLevel="1" thickBot="1" x14ac:dyDescent="0.3">
      <c r="A15" s="79" t="s">
        <v>6</v>
      </c>
      <c r="B15" s="37" t="s">
        <v>8</v>
      </c>
      <c r="C15" s="37" t="s">
        <v>3</v>
      </c>
      <c r="D15" s="311" t="s">
        <v>55</v>
      </c>
      <c r="E15" s="312"/>
      <c r="F15" s="38" t="s">
        <v>10</v>
      </c>
      <c r="G15" s="38" t="s">
        <v>0</v>
      </c>
      <c r="H15" s="38" t="s">
        <v>21</v>
      </c>
      <c r="I15" s="38" t="s">
        <v>29</v>
      </c>
      <c r="J15" s="38" t="s">
        <v>28</v>
      </c>
      <c r="K15" s="38" t="s">
        <v>22</v>
      </c>
      <c r="L15" s="38" t="s">
        <v>39</v>
      </c>
      <c r="M15" s="33" t="s">
        <v>21</v>
      </c>
      <c r="N15" s="32" t="s">
        <v>29</v>
      </c>
      <c r="O15" s="33" t="s">
        <v>28</v>
      </c>
      <c r="P15" s="32" t="s">
        <v>22</v>
      </c>
      <c r="Q15" s="33" t="s">
        <v>39</v>
      </c>
      <c r="R15" s="41" t="s">
        <v>21</v>
      </c>
      <c r="S15" s="44" t="s">
        <v>29</v>
      </c>
      <c r="T15" s="41" t="s">
        <v>28</v>
      </c>
      <c r="U15" s="44" t="s">
        <v>22</v>
      </c>
      <c r="V15" s="41" t="s">
        <v>39</v>
      </c>
      <c r="W15" s="53"/>
      <c r="X15" s="53"/>
      <c r="Y15" s="53"/>
      <c r="Z15" s="53"/>
      <c r="AA15" s="53"/>
      <c r="AB15" s="53"/>
      <c r="AC15" s="72" t="s">
        <v>21</v>
      </c>
      <c r="AD15" s="48" t="s">
        <v>29</v>
      </c>
      <c r="AE15" s="48" t="s">
        <v>28</v>
      </c>
      <c r="AF15" s="48" t="s">
        <v>22</v>
      </c>
      <c r="AG15" s="69" t="s">
        <v>39</v>
      </c>
      <c r="AH15" s="72" t="s">
        <v>21</v>
      </c>
      <c r="AI15" s="48" t="s">
        <v>29</v>
      </c>
      <c r="AJ15" s="48" t="s">
        <v>28</v>
      </c>
      <c r="AK15" s="48" t="s">
        <v>22</v>
      </c>
      <c r="AL15" s="69" t="s">
        <v>39</v>
      </c>
      <c r="AM15" s="72" t="s">
        <v>21</v>
      </c>
      <c r="AN15" s="48" t="s">
        <v>29</v>
      </c>
      <c r="AO15" s="48" t="s">
        <v>28</v>
      </c>
      <c r="AP15" s="48" t="s">
        <v>22</v>
      </c>
      <c r="AQ15" s="69" t="s">
        <v>39</v>
      </c>
      <c r="AR15" s="72" t="s">
        <v>21</v>
      </c>
      <c r="AS15" s="48" t="s">
        <v>29</v>
      </c>
      <c r="AT15" s="48" t="s">
        <v>28</v>
      </c>
      <c r="AU15" s="48" t="s">
        <v>22</v>
      </c>
      <c r="AV15" s="69" t="s">
        <v>39</v>
      </c>
      <c r="AW15" s="72" t="s">
        <v>21</v>
      </c>
      <c r="AX15" s="48" t="s">
        <v>29</v>
      </c>
      <c r="AY15" s="48" t="s">
        <v>28</v>
      </c>
      <c r="AZ15" s="48" t="s">
        <v>22</v>
      </c>
      <c r="BA15" s="69" t="s">
        <v>39</v>
      </c>
      <c r="BB15" s="72" t="s">
        <v>21</v>
      </c>
      <c r="BC15" s="48" t="s">
        <v>29</v>
      </c>
      <c r="BD15" s="48" t="s">
        <v>28</v>
      </c>
      <c r="BE15" s="48" t="s">
        <v>22</v>
      </c>
      <c r="BF15" s="69"/>
      <c r="BG15" s="72" t="s">
        <v>21</v>
      </c>
      <c r="BH15" s="48" t="s">
        <v>29</v>
      </c>
      <c r="BI15" s="48" t="s">
        <v>28</v>
      </c>
      <c r="BJ15" s="48" t="s">
        <v>22</v>
      </c>
      <c r="BK15" s="69"/>
      <c r="BL15" s="72" t="s">
        <v>21</v>
      </c>
      <c r="BM15" s="48" t="s">
        <v>29</v>
      </c>
      <c r="BN15" s="48" t="s">
        <v>28</v>
      </c>
      <c r="BO15" s="48" t="s">
        <v>22</v>
      </c>
      <c r="BP15" s="69" t="s">
        <v>39</v>
      </c>
    </row>
    <row r="16" spans="1:68" ht="75.75" outlineLevel="1" thickBot="1" x14ac:dyDescent="0.3">
      <c r="A16" s="80" t="s">
        <v>18</v>
      </c>
      <c r="B16" s="9" t="s">
        <v>195</v>
      </c>
      <c r="C16" s="9" t="s">
        <v>196</v>
      </c>
      <c r="D16" s="313" t="s">
        <v>82</v>
      </c>
      <c r="E16" s="314"/>
      <c r="F16" s="9" t="s">
        <v>92</v>
      </c>
      <c r="G16" s="9" t="s">
        <v>83</v>
      </c>
      <c r="H16" s="273">
        <v>0</v>
      </c>
      <c r="I16" s="165" t="s">
        <v>86</v>
      </c>
      <c r="J16" s="166" t="s">
        <v>86</v>
      </c>
      <c r="K16" s="167" t="s">
        <v>86</v>
      </c>
      <c r="L16" s="269" t="s">
        <v>206</v>
      </c>
      <c r="M16" s="119" t="s">
        <v>86</v>
      </c>
      <c r="N16" s="160" t="s">
        <v>86</v>
      </c>
      <c r="O16" s="141" t="s">
        <v>86</v>
      </c>
      <c r="P16" s="276" t="s">
        <v>86</v>
      </c>
      <c r="Q16" s="141" t="s">
        <v>86</v>
      </c>
      <c r="R16" s="122" t="s">
        <v>86</v>
      </c>
      <c r="S16" s="143" t="s">
        <v>86</v>
      </c>
      <c r="T16" s="144" t="s">
        <v>86</v>
      </c>
      <c r="U16" s="143">
        <v>80</v>
      </c>
      <c r="V16" s="144" t="s">
        <v>86</v>
      </c>
      <c r="W16" s="53"/>
      <c r="X16" s="53"/>
      <c r="Y16" s="53"/>
      <c r="Z16" s="53"/>
      <c r="AA16" s="53"/>
      <c r="AB16" s="53"/>
      <c r="AC16" s="178" t="s">
        <v>86</v>
      </c>
      <c r="AD16" s="178" t="s">
        <v>86</v>
      </c>
      <c r="AE16" s="178" t="s">
        <v>86</v>
      </c>
      <c r="AF16" s="178" t="s">
        <v>86</v>
      </c>
      <c r="AG16" s="178" t="s">
        <v>86</v>
      </c>
      <c r="AH16" s="178" t="s">
        <v>86</v>
      </c>
      <c r="AI16" s="178" t="s">
        <v>86</v>
      </c>
      <c r="AJ16" s="178" t="s">
        <v>86</v>
      </c>
      <c r="AK16" s="178" t="s">
        <v>86</v>
      </c>
      <c r="AL16" s="178" t="s">
        <v>86</v>
      </c>
      <c r="AM16" s="178" t="s">
        <v>86</v>
      </c>
      <c r="AN16" s="178" t="s">
        <v>86</v>
      </c>
      <c r="AO16" s="178" t="s">
        <v>86</v>
      </c>
      <c r="AP16" s="178" t="s">
        <v>86</v>
      </c>
      <c r="AQ16" s="178" t="s">
        <v>86</v>
      </c>
      <c r="AR16" s="178" t="s">
        <v>86</v>
      </c>
      <c r="AS16" s="178" t="s">
        <v>86</v>
      </c>
      <c r="AT16" s="178" t="s">
        <v>86</v>
      </c>
      <c r="AU16" s="178" t="s">
        <v>86</v>
      </c>
      <c r="AV16" s="178" t="s">
        <v>86</v>
      </c>
      <c r="AW16" s="178" t="s">
        <v>86</v>
      </c>
      <c r="AX16" s="178" t="s">
        <v>86</v>
      </c>
      <c r="AY16" s="178" t="s">
        <v>86</v>
      </c>
      <c r="AZ16" s="178" t="s">
        <v>86</v>
      </c>
      <c r="BA16" s="178" t="s">
        <v>86</v>
      </c>
      <c r="BB16" s="178" t="s">
        <v>86</v>
      </c>
      <c r="BC16" s="178" t="s">
        <v>86</v>
      </c>
      <c r="BD16" s="178" t="s">
        <v>86</v>
      </c>
      <c r="BE16" s="178" t="s">
        <v>86</v>
      </c>
      <c r="BF16" s="178" t="s">
        <v>86</v>
      </c>
      <c r="BG16" s="178" t="s">
        <v>86</v>
      </c>
      <c r="BH16" s="178" t="s">
        <v>86</v>
      </c>
      <c r="BI16" s="178" t="s">
        <v>86</v>
      </c>
      <c r="BJ16" s="178" t="s">
        <v>86</v>
      </c>
      <c r="BK16" s="178" t="s">
        <v>86</v>
      </c>
      <c r="BL16" s="178" t="s">
        <v>86</v>
      </c>
      <c r="BM16" s="178" t="s">
        <v>86</v>
      </c>
      <c r="BN16" s="178" t="s">
        <v>86</v>
      </c>
      <c r="BO16" s="178" t="s">
        <v>86</v>
      </c>
      <c r="BP16" s="178" t="s">
        <v>86</v>
      </c>
    </row>
    <row r="17" spans="1:68" ht="30" outlineLevel="1" x14ac:dyDescent="0.25">
      <c r="A17" s="271" t="s">
        <v>19</v>
      </c>
      <c r="B17" s="9" t="s">
        <v>198</v>
      </c>
      <c r="C17" s="9" t="s">
        <v>199</v>
      </c>
      <c r="D17" s="313" t="s">
        <v>82</v>
      </c>
      <c r="E17" s="314"/>
      <c r="F17" s="9" t="s">
        <v>200</v>
      </c>
      <c r="G17" s="9" t="s">
        <v>189</v>
      </c>
      <c r="H17" s="154" t="s">
        <v>86</v>
      </c>
      <c r="I17" s="165" t="s">
        <v>86</v>
      </c>
      <c r="J17" s="166" t="s">
        <v>86</v>
      </c>
      <c r="K17" s="167" t="s">
        <v>86</v>
      </c>
      <c r="L17" s="269">
        <v>1</v>
      </c>
      <c r="M17" s="119" t="s">
        <v>86</v>
      </c>
      <c r="N17" s="160" t="s">
        <v>86</v>
      </c>
      <c r="O17" s="141" t="s">
        <v>86</v>
      </c>
      <c r="P17" s="160" t="s">
        <v>86</v>
      </c>
      <c r="Q17" s="141" t="s">
        <v>91</v>
      </c>
      <c r="R17" s="122" t="s">
        <v>86</v>
      </c>
      <c r="S17" s="143" t="s">
        <v>86</v>
      </c>
      <c r="T17" s="144" t="s">
        <v>86</v>
      </c>
      <c r="U17" s="143" t="s">
        <v>86</v>
      </c>
      <c r="V17" s="144">
        <v>1</v>
      </c>
      <c r="W17" s="53"/>
      <c r="X17" s="53"/>
      <c r="Y17" s="53"/>
      <c r="Z17" s="53"/>
      <c r="AA17" s="53"/>
      <c r="AB17" s="53"/>
      <c r="AC17" s="272"/>
      <c r="AD17" s="272"/>
      <c r="AE17" s="272"/>
      <c r="AF17" s="272"/>
      <c r="AG17" s="272"/>
      <c r="AH17" s="272"/>
      <c r="AI17" s="272"/>
      <c r="AJ17" s="272"/>
      <c r="AK17" s="272"/>
      <c r="AL17" s="272"/>
      <c r="AM17" s="272"/>
      <c r="AN17" s="272"/>
      <c r="AO17" s="272"/>
      <c r="AP17" s="272"/>
      <c r="AQ17" s="272"/>
      <c r="AR17" s="272"/>
      <c r="AS17" s="272"/>
      <c r="AT17" s="272"/>
      <c r="AU17" s="272"/>
      <c r="AV17" s="272"/>
      <c r="AW17" s="272"/>
      <c r="AX17" s="272"/>
      <c r="AY17" s="272"/>
      <c r="AZ17" s="272"/>
      <c r="BA17" s="272"/>
      <c r="BB17" s="272"/>
      <c r="BC17" s="272"/>
      <c r="BD17" s="272"/>
      <c r="BE17" s="272"/>
      <c r="BF17" s="272"/>
      <c r="BG17" s="272"/>
      <c r="BH17" s="272"/>
      <c r="BI17" s="272"/>
      <c r="BJ17" s="272"/>
      <c r="BK17" s="272"/>
      <c r="BL17" s="272"/>
      <c r="BM17" s="272"/>
      <c r="BN17" s="272"/>
      <c r="BO17" s="272"/>
      <c r="BP17" s="272"/>
    </row>
    <row r="18" spans="1:68" ht="21" outlineLevel="1" x14ac:dyDescent="0.35">
      <c r="A18" s="319" t="s">
        <v>81</v>
      </c>
      <c r="B18" s="319"/>
      <c r="C18" s="233"/>
      <c r="D18" s="233"/>
      <c r="E18" s="233"/>
      <c r="F18" s="233"/>
      <c r="G18" s="233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53"/>
      <c r="S18" s="53"/>
      <c r="T18" s="53"/>
      <c r="U18" s="53"/>
      <c r="V18" s="53"/>
      <c r="W18" s="77"/>
      <c r="X18" s="307"/>
      <c r="Y18" s="307"/>
      <c r="Z18" s="307"/>
      <c r="AA18" s="307"/>
      <c r="AB18" s="307"/>
      <c r="AC18" s="307"/>
      <c r="AD18" s="307"/>
      <c r="AE18" s="307"/>
      <c r="AF18" s="307"/>
      <c r="AG18" s="307"/>
      <c r="AH18" s="307"/>
      <c r="AI18" s="307"/>
      <c r="AJ18" s="307"/>
      <c r="AK18" s="307"/>
      <c r="AL18" s="307"/>
      <c r="AM18" s="307"/>
      <c r="AN18" s="307"/>
      <c r="AO18" s="307"/>
      <c r="AP18" s="307"/>
      <c r="AQ18" s="307"/>
      <c r="AR18" s="307"/>
      <c r="AS18" s="307"/>
      <c r="AT18" s="307"/>
      <c r="AU18" s="307"/>
      <c r="AV18" s="307"/>
      <c r="AW18" s="307"/>
      <c r="AX18" s="307"/>
      <c r="AY18" s="307"/>
      <c r="AZ18" s="307"/>
      <c r="BA18" s="307"/>
      <c r="BB18" s="307"/>
      <c r="BC18" s="307"/>
      <c r="BD18" s="307"/>
      <c r="BE18" s="307"/>
      <c r="BF18" s="307"/>
      <c r="BG18" s="307"/>
      <c r="BH18" s="307"/>
      <c r="BI18" s="307"/>
      <c r="BJ18" s="307"/>
      <c r="BK18" s="307"/>
      <c r="BL18" s="77"/>
    </row>
    <row r="19" spans="1:68" ht="24.6" customHeight="1" outlineLevel="1" x14ac:dyDescent="0.25">
      <c r="A19" s="356" t="s">
        <v>84</v>
      </c>
      <c r="B19" s="357"/>
      <c r="C19" s="357"/>
      <c r="D19" s="357"/>
      <c r="E19" s="357"/>
      <c r="F19" s="357"/>
      <c r="G19" s="357"/>
      <c r="H19" s="113"/>
      <c r="I19" s="113"/>
      <c r="J19" s="113"/>
      <c r="K19" s="53"/>
      <c r="L19" s="53"/>
      <c r="M19" s="53"/>
      <c r="N19" s="53"/>
      <c r="O19" s="53"/>
      <c r="P19" s="53"/>
      <c r="Q19" s="108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77"/>
    </row>
    <row r="20" spans="1:68" ht="15" customHeight="1" x14ac:dyDescent="0.25">
      <c r="A20" s="305" t="s">
        <v>85</v>
      </c>
      <c r="B20" s="306"/>
      <c r="C20" s="306"/>
      <c r="D20" s="306"/>
      <c r="E20" s="306"/>
      <c r="F20" s="306"/>
      <c r="G20" s="306"/>
    </row>
    <row r="21" spans="1:68" ht="23.25" customHeight="1" x14ac:dyDescent="0.25">
      <c r="A21" t="s">
        <v>98</v>
      </c>
    </row>
    <row r="22" spans="1:68" x14ac:dyDescent="0.25">
      <c r="A22" t="s">
        <v>99</v>
      </c>
    </row>
    <row r="23" spans="1:68" x14ac:dyDescent="0.25">
      <c r="A23" t="s">
        <v>100</v>
      </c>
      <c r="C23" s="270"/>
    </row>
    <row r="24" spans="1:68" ht="15.75" customHeight="1" x14ac:dyDescent="0.25">
      <c r="A24" t="s">
        <v>120</v>
      </c>
    </row>
    <row r="25" spans="1:68" ht="23.25" x14ac:dyDescent="0.25">
      <c r="A25" s="326" t="s">
        <v>221</v>
      </c>
      <c r="B25" s="326"/>
      <c r="C25" s="326"/>
      <c r="D25" s="326"/>
      <c r="E25" s="326"/>
      <c r="F25" s="326"/>
      <c r="G25" s="326"/>
      <c r="H25" s="326"/>
      <c r="I25" s="326"/>
      <c r="J25" s="326"/>
      <c r="K25" s="326"/>
      <c r="L25" s="326"/>
      <c r="M25" s="326"/>
      <c r="N25" s="326"/>
      <c r="O25" s="326"/>
      <c r="P25" s="326"/>
      <c r="Q25" s="32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"/>
      <c r="BI25" s="7"/>
      <c r="BJ25" s="7"/>
      <c r="BK25" s="7"/>
      <c r="BL25" s="1"/>
      <c r="BM25" s="1"/>
      <c r="BN25" s="1"/>
      <c r="BO25" s="1"/>
      <c r="BP25" s="1"/>
    </row>
    <row r="26" spans="1:68" ht="23.25" x14ac:dyDescent="0.35">
      <c r="A26" s="85"/>
      <c r="B26" s="85"/>
      <c r="C26" s="85"/>
      <c r="D26" s="85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12"/>
      <c r="BM26" s="12"/>
      <c r="BN26" s="12"/>
      <c r="BO26" s="12"/>
      <c r="BP26" s="12"/>
    </row>
    <row r="27" spans="1:68" ht="24" thickBot="1" x14ac:dyDescent="0.4">
      <c r="A27" s="53"/>
      <c r="B27" s="94" t="s">
        <v>9</v>
      </c>
      <c r="C27" s="95" t="s">
        <v>40</v>
      </c>
      <c r="D27" s="96">
        <v>2018</v>
      </c>
      <c r="E27" s="97">
        <v>2019</v>
      </c>
      <c r="F27" s="341">
        <v>2020</v>
      </c>
      <c r="G27" s="342"/>
      <c r="H27" s="78"/>
      <c r="I27" s="78"/>
      <c r="J27" s="78"/>
      <c r="K27" s="78"/>
      <c r="L27" s="78"/>
      <c r="M27" s="78"/>
      <c r="N27" s="7"/>
      <c r="O27" s="7"/>
      <c r="P27" s="7"/>
      <c r="Q27" s="327"/>
      <c r="R27" s="327"/>
      <c r="S27" s="327"/>
      <c r="T27" s="327"/>
      <c r="U27" s="327"/>
      <c r="V27" s="32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1"/>
      <c r="BM27" s="1"/>
      <c r="BN27" s="1"/>
      <c r="BO27" s="1"/>
      <c r="BP27" s="1"/>
    </row>
    <row r="28" spans="1:68" ht="23.25" x14ac:dyDescent="0.35">
      <c r="A28" s="7"/>
      <c r="B28" s="98" t="s">
        <v>26</v>
      </c>
      <c r="C28" s="99">
        <f>(75000+366000+50000+50000+615845+1438826)</f>
        <v>2595671</v>
      </c>
      <c r="D28" s="100">
        <f>C28</f>
        <v>2595671</v>
      </c>
      <c r="E28" s="101" t="s">
        <v>37</v>
      </c>
      <c r="F28" s="343" t="s">
        <v>38</v>
      </c>
      <c r="G28" s="344"/>
      <c r="H28" s="78"/>
      <c r="I28" s="78"/>
      <c r="J28" s="78"/>
      <c r="K28" s="78"/>
      <c r="L28" s="78"/>
      <c r="M28" s="78"/>
      <c r="N28" s="7"/>
      <c r="O28" s="7"/>
      <c r="P28" s="232"/>
      <c r="Q28" s="232"/>
      <c r="R28" s="232"/>
      <c r="S28" s="232"/>
      <c r="T28" s="232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1"/>
      <c r="BM28" s="1"/>
      <c r="BN28" s="1"/>
      <c r="BO28" s="1"/>
      <c r="BP28" s="1"/>
    </row>
    <row r="29" spans="1:68" ht="23.25" x14ac:dyDescent="0.35">
      <c r="A29" s="53"/>
      <c r="B29" s="102" t="s">
        <v>24</v>
      </c>
      <c r="C29" s="103">
        <v>0</v>
      </c>
      <c r="D29" s="104">
        <v>0</v>
      </c>
      <c r="E29" s="105" t="s">
        <v>37</v>
      </c>
      <c r="F29" s="345" t="s">
        <v>38</v>
      </c>
      <c r="G29" s="346"/>
      <c r="H29" s="78"/>
      <c r="I29" s="78"/>
      <c r="J29" s="78"/>
      <c r="K29" s="78"/>
      <c r="L29" s="78"/>
      <c r="M29" s="78"/>
      <c r="N29" s="78"/>
      <c r="O29" s="78"/>
      <c r="P29" s="78"/>
      <c r="Q29" s="7"/>
      <c r="R29" s="7"/>
      <c r="S29" s="7"/>
      <c r="T29" s="232"/>
      <c r="U29" s="232"/>
      <c r="V29" s="232"/>
      <c r="W29" s="232"/>
      <c r="X29" s="232"/>
      <c r="Y29" s="232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1"/>
      <c r="BM29" s="1"/>
      <c r="BN29" s="1"/>
      <c r="BO29" s="1"/>
      <c r="BP29" s="1"/>
    </row>
    <row r="30" spans="1:68" ht="23.25" x14ac:dyDescent="0.35">
      <c r="A30" s="53"/>
      <c r="B30" s="102" t="s">
        <v>25</v>
      </c>
      <c r="C30" s="103">
        <v>1</v>
      </c>
      <c r="D30" s="104">
        <v>1</v>
      </c>
      <c r="E30" s="105" t="s">
        <v>37</v>
      </c>
      <c r="F30" s="345" t="s">
        <v>38</v>
      </c>
      <c r="G30" s="346"/>
      <c r="H30" s="78"/>
      <c r="I30" s="78"/>
      <c r="J30" s="78"/>
      <c r="K30" s="78"/>
      <c r="L30" s="78"/>
      <c r="M30" s="78"/>
      <c r="N30" s="78"/>
      <c r="O30" s="78"/>
      <c r="P30" s="78"/>
      <c r="Q30" s="7"/>
      <c r="R30" s="7"/>
      <c r="S30" s="7"/>
      <c r="T30" s="232"/>
      <c r="U30" s="232"/>
      <c r="V30" s="232"/>
      <c r="W30" s="232"/>
      <c r="X30" s="232"/>
      <c r="Y30" s="232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1"/>
      <c r="BM30" s="1"/>
      <c r="BN30" s="1"/>
      <c r="BO30" s="1"/>
      <c r="BP30" s="1"/>
    </row>
    <row r="31" spans="1:68" ht="23.25" x14ac:dyDescent="0.35">
      <c r="A31" s="53"/>
      <c r="B31" s="3"/>
      <c r="C31" s="3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"/>
      <c r="W31" s="7"/>
      <c r="X31" s="7"/>
      <c r="Y31" s="7"/>
      <c r="Z31" s="7"/>
      <c r="AA31" s="7"/>
      <c r="AB31" s="87" t="s">
        <v>188</v>
      </c>
      <c r="AC31" s="6"/>
      <c r="AD31" s="6"/>
      <c r="AE31" s="6"/>
      <c r="AF31" s="6"/>
      <c r="AG31" s="6"/>
      <c r="AH31" s="6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</row>
    <row r="32" spans="1:68" ht="21" x14ac:dyDescent="0.35">
      <c r="A32" s="321" t="s">
        <v>191</v>
      </c>
      <c r="B32" s="321"/>
      <c r="C32" s="321"/>
      <c r="D32" s="321"/>
      <c r="E32" s="321"/>
      <c r="F32" s="321"/>
      <c r="G32" s="322"/>
      <c r="H32" s="318" t="s">
        <v>1</v>
      </c>
      <c r="I32" s="319"/>
      <c r="J32" s="319"/>
      <c r="K32" s="319"/>
      <c r="L32" s="320"/>
      <c r="M32" s="323" t="s">
        <v>177</v>
      </c>
      <c r="N32" s="324"/>
      <c r="O32" s="324"/>
      <c r="P32" s="324"/>
      <c r="Q32" s="325"/>
      <c r="R32" s="315" t="s">
        <v>190</v>
      </c>
      <c r="S32" s="316"/>
      <c r="T32" s="316"/>
      <c r="U32" s="316"/>
      <c r="V32" s="317"/>
      <c r="W32" s="53"/>
      <c r="X32" s="53"/>
      <c r="Y32" s="53"/>
      <c r="Z32" s="53"/>
      <c r="AA32" s="53"/>
      <c r="AB32" s="53"/>
      <c r="AC32" s="308" t="s">
        <v>11</v>
      </c>
      <c r="AD32" s="309"/>
      <c r="AE32" s="309"/>
      <c r="AF32" s="309"/>
      <c r="AG32" s="310"/>
      <c r="AH32" s="308" t="s">
        <v>16</v>
      </c>
      <c r="AI32" s="309"/>
      <c r="AJ32" s="309"/>
      <c r="AK32" s="309"/>
      <c r="AL32" s="310"/>
      <c r="AM32" s="308" t="s">
        <v>23</v>
      </c>
      <c r="AN32" s="309"/>
      <c r="AO32" s="309"/>
      <c r="AP32" s="309"/>
      <c r="AQ32" s="310"/>
      <c r="AR32" s="308" t="s">
        <v>13</v>
      </c>
      <c r="AS32" s="309"/>
      <c r="AT32" s="309"/>
      <c r="AU32" s="309"/>
      <c r="AV32" s="310"/>
      <c r="AW32" s="308" t="s">
        <v>14</v>
      </c>
      <c r="AX32" s="309"/>
      <c r="AY32" s="309"/>
      <c r="AZ32" s="309"/>
      <c r="BA32" s="310"/>
      <c r="BB32" s="308" t="s">
        <v>12</v>
      </c>
      <c r="BC32" s="309"/>
      <c r="BD32" s="309"/>
      <c r="BE32" s="309"/>
      <c r="BF32" s="310"/>
      <c r="BG32" s="308" t="s">
        <v>17</v>
      </c>
      <c r="BH32" s="309"/>
      <c r="BI32" s="309"/>
      <c r="BJ32" s="309"/>
      <c r="BK32" s="310"/>
      <c r="BL32" s="308" t="s">
        <v>15</v>
      </c>
      <c r="BM32" s="309"/>
      <c r="BN32" s="309"/>
      <c r="BO32" s="309"/>
      <c r="BP32" s="310"/>
    </row>
    <row r="33" spans="1:68" ht="15.75" thickBot="1" x14ac:dyDescent="0.3">
      <c r="A33" s="79" t="s">
        <v>6</v>
      </c>
      <c r="B33" s="37" t="s">
        <v>8</v>
      </c>
      <c r="C33" s="37" t="s">
        <v>3</v>
      </c>
      <c r="D33" s="311" t="s">
        <v>55</v>
      </c>
      <c r="E33" s="312"/>
      <c r="F33" s="38" t="s">
        <v>10</v>
      </c>
      <c r="G33" s="38" t="s">
        <v>0</v>
      </c>
      <c r="H33" s="38" t="s">
        <v>21</v>
      </c>
      <c r="I33" s="38" t="s">
        <v>29</v>
      </c>
      <c r="J33" s="38" t="s">
        <v>28</v>
      </c>
      <c r="K33" s="38" t="s">
        <v>22</v>
      </c>
      <c r="L33" s="38" t="s">
        <v>39</v>
      </c>
      <c r="M33" s="33" t="s">
        <v>21</v>
      </c>
      <c r="N33" s="32" t="s">
        <v>29</v>
      </c>
      <c r="O33" s="33" t="s">
        <v>28</v>
      </c>
      <c r="P33" s="32" t="s">
        <v>22</v>
      </c>
      <c r="Q33" s="33" t="s">
        <v>39</v>
      </c>
      <c r="R33" s="41" t="s">
        <v>21</v>
      </c>
      <c r="S33" s="44" t="s">
        <v>29</v>
      </c>
      <c r="T33" s="41" t="s">
        <v>28</v>
      </c>
      <c r="U33" s="44" t="s">
        <v>22</v>
      </c>
      <c r="V33" s="41" t="s">
        <v>39</v>
      </c>
      <c r="W33" s="53"/>
      <c r="X33" s="53"/>
      <c r="Y33" s="53"/>
      <c r="Z33" s="53"/>
      <c r="AA33" s="53"/>
      <c r="AB33" s="53"/>
      <c r="AC33" s="72" t="s">
        <v>21</v>
      </c>
      <c r="AD33" s="48" t="s">
        <v>29</v>
      </c>
      <c r="AE33" s="48" t="s">
        <v>28</v>
      </c>
      <c r="AF33" s="48" t="s">
        <v>22</v>
      </c>
      <c r="AG33" s="69" t="s">
        <v>39</v>
      </c>
      <c r="AH33" s="72" t="s">
        <v>21</v>
      </c>
      <c r="AI33" s="48" t="s">
        <v>29</v>
      </c>
      <c r="AJ33" s="48" t="s">
        <v>28</v>
      </c>
      <c r="AK33" s="48" t="s">
        <v>22</v>
      </c>
      <c r="AL33" s="69" t="s">
        <v>39</v>
      </c>
      <c r="AM33" s="72" t="s">
        <v>21</v>
      </c>
      <c r="AN33" s="48" t="s">
        <v>29</v>
      </c>
      <c r="AO33" s="48" t="s">
        <v>28</v>
      </c>
      <c r="AP33" s="48" t="s">
        <v>22</v>
      </c>
      <c r="AQ33" s="69" t="s">
        <v>39</v>
      </c>
      <c r="AR33" s="72" t="s">
        <v>21</v>
      </c>
      <c r="AS33" s="48" t="s">
        <v>29</v>
      </c>
      <c r="AT33" s="48" t="s">
        <v>28</v>
      </c>
      <c r="AU33" s="48" t="s">
        <v>22</v>
      </c>
      <c r="AV33" s="69" t="s">
        <v>39</v>
      </c>
      <c r="AW33" s="72" t="s">
        <v>21</v>
      </c>
      <c r="AX33" s="48" t="s">
        <v>29</v>
      </c>
      <c r="AY33" s="48" t="s">
        <v>28</v>
      </c>
      <c r="AZ33" s="48" t="s">
        <v>22</v>
      </c>
      <c r="BA33" s="69" t="s">
        <v>39</v>
      </c>
      <c r="BB33" s="72" t="s">
        <v>21</v>
      </c>
      <c r="BC33" s="48" t="s">
        <v>29</v>
      </c>
      <c r="BD33" s="48" t="s">
        <v>28</v>
      </c>
      <c r="BE33" s="48" t="s">
        <v>22</v>
      </c>
      <c r="BF33" s="69"/>
      <c r="BG33" s="72" t="s">
        <v>21</v>
      </c>
      <c r="BH33" s="48" t="s">
        <v>29</v>
      </c>
      <c r="BI33" s="48" t="s">
        <v>28</v>
      </c>
      <c r="BJ33" s="48" t="s">
        <v>22</v>
      </c>
      <c r="BK33" s="69"/>
      <c r="BL33" s="72" t="s">
        <v>21</v>
      </c>
      <c r="BM33" s="48" t="s">
        <v>29</v>
      </c>
      <c r="BN33" s="48" t="s">
        <v>28</v>
      </c>
      <c r="BO33" s="48" t="s">
        <v>22</v>
      </c>
      <c r="BP33" s="69" t="s">
        <v>39</v>
      </c>
    </row>
    <row r="34" spans="1:68" s="225" customFormat="1" ht="90" x14ac:dyDescent="0.25">
      <c r="A34" s="238" t="s">
        <v>18</v>
      </c>
      <c r="B34" s="238" t="s">
        <v>95</v>
      </c>
      <c r="C34" s="275" t="s">
        <v>202</v>
      </c>
      <c r="D34" s="339" t="s">
        <v>79</v>
      </c>
      <c r="E34" s="340"/>
      <c r="F34" s="239" t="s">
        <v>97</v>
      </c>
      <c r="G34" s="240" t="s">
        <v>80</v>
      </c>
      <c r="H34" s="240" t="s">
        <v>86</v>
      </c>
      <c r="I34" s="241" t="s">
        <v>86</v>
      </c>
      <c r="J34" s="241" t="s">
        <v>86</v>
      </c>
      <c r="K34" s="241" t="s">
        <v>86</v>
      </c>
      <c r="L34" s="242">
        <v>0</v>
      </c>
      <c r="M34" s="119" t="s">
        <v>86</v>
      </c>
      <c r="N34" s="160" t="s">
        <v>86</v>
      </c>
      <c r="O34" s="141" t="s">
        <v>86</v>
      </c>
      <c r="P34" s="160" t="s">
        <v>86</v>
      </c>
      <c r="Q34" s="141" t="s">
        <v>91</v>
      </c>
      <c r="R34" s="122" t="s">
        <v>86</v>
      </c>
      <c r="S34" s="143" t="s">
        <v>86</v>
      </c>
      <c r="T34" s="144" t="s">
        <v>86</v>
      </c>
      <c r="U34" s="143" t="s">
        <v>86</v>
      </c>
      <c r="V34" s="144" t="s">
        <v>86</v>
      </c>
      <c r="W34" s="76"/>
      <c r="X34" s="76"/>
      <c r="Y34" s="76"/>
      <c r="Z34" s="76"/>
      <c r="AA34" s="76"/>
      <c r="AB34" s="76"/>
      <c r="AC34" s="178" t="s">
        <v>86</v>
      </c>
      <c r="AD34" s="178" t="s">
        <v>86</v>
      </c>
      <c r="AE34" s="178" t="s">
        <v>86</v>
      </c>
      <c r="AF34" s="178" t="s">
        <v>86</v>
      </c>
      <c r="AG34" s="178" t="s">
        <v>86</v>
      </c>
      <c r="AH34" s="178" t="s">
        <v>86</v>
      </c>
      <c r="AI34" s="178" t="s">
        <v>86</v>
      </c>
      <c r="AJ34" s="178" t="s">
        <v>86</v>
      </c>
      <c r="AK34" s="178" t="s">
        <v>86</v>
      </c>
      <c r="AL34" s="178" t="s">
        <v>86</v>
      </c>
      <c r="AM34" s="178" t="s">
        <v>86</v>
      </c>
      <c r="AN34" s="178" t="s">
        <v>86</v>
      </c>
      <c r="AO34" s="178" t="s">
        <v>86</v>
      </c>
      <c r="AP34" s="178" t="s">
        <v>86</v>
      </c>
      <c r="AQ34" s="178" t="s">
        <v>86</v>
      </c>
      <c r="AR34" s="178" t="s">
        <v>86</v>
      </c>
      <c r="AS34" s="178" t="s">
        <v>86</v>
      </c>
      <c r="AT34" s="178" t="s">
        <v>86</v>
      </c>
      <c r="AU34" s="178" t="s">
        <v>86</v>
      </c>
      <c r="AV34" s="178" t="s">
        <v>86</v>
      </c>
      <c r="AW34" s="178" t="s">
        <v>86</v>
      </c>
      <c r="AX34" s="178" t="s">
        <v>86</v>
      </c>
      <c r="AY34" s="178" t="s">
        <v>86</v>
      </c>
      <c r="AZ34" s="178" t="s">
        <v>86</v>
      </c>
      <c r="BA34" s="178" t="s">
        <v>86</v>
      </c>
      <c r="BB34" s="178" t="s">
        <v>86</v>
      </c>
      <c r="BC34" s="178" t="s">
        <v>86</v>
      </c>
      <c r="BD34" s="178" t="s">
        <v>86</v>
      </c>
      <c r="BE34" s="178" t="s">
        <v>86</v>
      </c>
      <c r="BF34" s="178" t="s">
        <v>86</v>
      </c>
      <c r="BG34" s="178" t="s">
        <v>86</v>
      </c>
      <c r="BH34" s="178" t="s">
        <v>86</v>
      </c>
      <c r="BI34" s="178" t="s">
        <v>86</v>
      </c>
      <c r="BJ34" s="178" t="s">
        <v>86</v>
      </c>
      <c r="BK34" s="178" t="s">
        <v>86</v>
      </c>
      <c r="BL34" s="178" t="s">
        <v>86</v>
      </c>
      <c r="BM34" s="178" t="s">
        <v>86</v>
      </c>
      <c r="BN34" s="178" t="s">
        <v>86</v>
      </c>
      <c r="BO34" s="178" t="s">
        <v>86</v>
      </c>
      <c r="BP34" s="178" t="s">
        <v>86</v>
      </c>
    </row>
    <row r="35" spans="1:68" ht="21" x14ac:dyDescent="0.35">
      <c r="A35" s="319" t="s">
        <v>192</v>
      </c>
      <c r="B35" s="319"/>
      <c r="C35" s="236"/>
      <c r="D35" s="236"/>
      <c r="E35" s="236"/>
      <c r="F35" s="236"/>
      <c r="G35" s="236"/>
    </row>
    <row r="36" spans="1:68" x14ac:dyDescent="0.25">
      <c r="A36" s="305" t="s">
        <v>194</v>
      </c>
      <c r="B36" s="306"/>
      <c r="C36" s="306"/>
      <c r="D36" s="306"/>
      <c r="E36" s="306"/>
      <c r="F36" s="306"/>
      <c r="G36" s="306"/>
    </row>
    <row r="37" spans="1:68" x14ac:dyDescent="0.25">
      <c r="A37" t="s">
        <v>193</v>
      </c>
    </row>
    <row r="38" spans="1:68" x14ac:dyDescent="0.25">
      <c r="A38" t="s">
        <v>99</v>
      </c>
    </row>
    <row r="39" spans="1:68" x14ac:dyDescent="0.25">
      <c r="A39" t="s">
        <v>100</v>
      </c>
      <c r="C39" s="270"/>
    </row>
  </sheetData>
  <mergeCells count="59">
    <mergeCell ref="D34:E34"/>
    <mergeCell ref="AH32:AL32"/>
    <mergeCell ref="AM32:AQ32"/>
    <mergeCell ref="AR32:AV32"/>
    <mergeCell ref="AW32:BA32"/>
    <mergeCell ref="A32:G32"/>
    <mergeCell ref="H32:L32"/>
    <mergeCell ref="M32:Q32"/>
    <mergeCell ref="R32:V32"/>
    <mergeCell ref="AC32:AG32"/>
    <mergeCell ref="F29:G29"/>
    <mergeCell ref="F30:G30"/>
    <mergeCell ref="BG32:BK32"/>
    <mergeCell ref="BL32:BP32"/>
    <mergeCell ref="D33:E33"/>
    <mergeCell ref="BB32:BF32"/>
    <mergeCell ref="D17:E17"/>
    <mergeCell ref="A25:Q25"/>
    <mergeCell ref="D3:E3"/>
    <mergeCell ref="D4:E4"/>
    <mergeCell ref="A7:Q7"/>
    <mergeCell ref="D5:E5"/>
    <mergeCell ref="O9:T9"/>
    <mergeCell ref="A14:G14"/>
    <mergeCell ref="M14:Q14"/>
    <mergeCell ref="R14:V14"/>
    <mergeCell ref="D16:E16"/>
    <mergeCell ref="A1:V1"/>
    <mergeCell ref="A2:G2"/>
    <mergeCell ref="H2:K2"/>
    <mergeCell ref="L2:O2"/>
    <mergeCell ref="P2:S2"/>
    <mergeCell ref="T2:V2"/>
    <mergeCell ref="BL14:BP14"/>
    <mergeCell ref="D15:E15"/>
    <mergeCell ref="AC14:AG14"/>
    <mergeCell ref="AH14:AL14"/>
    <mergeCell ref="AM14:AQ14"/>
    <mergeCell ref="AR14:AV14"/>
    <mergeCell ref="AW14:BA14"/>
    <mergeCell ref="BB14:BF14"/>
    <mergeCell ref="H14:L14"/>
    <mergeCell ref="BG14:BK14"/>
    <mergeCell ref="A35:B35"/>
    <mergeCell ref="A36:G36"/>
    <mergeCell ref="A20:G20"/>
    <mergeCell ref="BB18:BF18"/>
    <mergeCell ref="BG18:BK18"/>
    <mergeCell ref="A19:G19"/>
    <mergeCell ref="X18:AB18"/>
    <mergeCell ref="AC18:AG18"/>
    <mergeCell ref="AH18:AL18"/>
    <mergeCell ref="AM18:AQ18"/>
    <mergeCell ref="AR18:AV18"/>
    <mergeCell ref="AW18:BA18"/>
    <mergeCell ref="A18:B18"/>
    <mergeCell ref="F27:G27"/>
    <mergeCell ref="Q27:V27"/>
    <mergeCell ref="F28:G28"/>
  </mergeCells>
  <pageMargins left="0.7" right="0.7" top="0.75" bottom="0.75" header="0.3" footer="0.3"/>
  <pageSetup paperSize="8" scale="86" fitToWidth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F4" sqref="F4"/>
    </sheetView>
  </sheetViews>
  <sheetFormatPr defaultRowHeight="15" x14ac:dyDescent="0.25"/>
  <cols>
    <col min="1" max="1" width="18.28515625" bestFit="1" customWidth="1"/>
    <col min="2" max="2" width="15.7109375" bestFit="1" customWidth="1"/>
    <col min="3" max="3" width="23.42578125" bestFit="1" customWidth="1"/>
    <col min="4" max="4" width="24.28515625" bestFit="1" customWidth="1"/>
    <col min="5" max="5" width="15.7109375" customWidth="1"/>
    <col min="6" max="6" width="12.7109375" customWidth="1"/>
    <col min="7" max="7" width="12.28515625" customWidth="1"/>
    <col min="8" max="8" width="13.42578125" customWidth="1"/>
    <col min="9" max="9" width="15.28515625" customWidth="1"/>
    <col min="10" max="10" width="13.28515625" customWidth="1"/>
    <col min="11" max="11" width="15.28515625" customWidth="1"/>
    <col min="12" max="12" width="17.28515625" customWidth="1"/>
    <col min="13" max="13" width="14.42578125" bestFit="1" customWidth="1"/>
    <col min="14" max="14" width="9.28515625" bestFit="1" customWidth="1"/>
  </cols>
  <sheetData>
    <row r="1" spans="1:14" x14ac:dyDescent="0.25">
      <c r="A1" s="374" t="s">
        <v>130</v>
      </c>
      <c r="B1" s="374" t="s">
        <v>131</v>
      </c>
      <c r="C1" s="377" t="s">
        <v>132</v>
      </c>
      <c r="D1" s="377" t="s">
        <v>133</v>
      </c>
      <c r="E1" s="363" t="s">
        <v>133</v>
      </c>
      <c r="F1" s="363"/>
      <c r="G1" s="363"/>
      <c r="H1" s="363"/>
      <c r="I1" s="363"/>
      <c r="J1" s="363"/>
      <c r="K1" s="363"/>
      <c r="L1" s="363"/>
      <c r="M1" s="363"/>
      <c r="N1" s="363"/>
    </row>
    <row r="2" spans="1:14" x14ac:dyDescent="0.25">
      <c r="A2" s="375"/>
      <c r="B2" s="375"/>
      <c r="C2" s="378"/>
      <c r="D2" s="378"/>
      <c r="E2" s="363"/>
      <c r="F2" s="363"/>
      <c r="G2" s="363"/>
      <c r="H2" s="363"/>
      <c r="I2" s="363"/>
      <c r="J2" s="363"/>
      <c r="K2" s="363"/>
      <c r="L2" s="363"/>
      <c r="M2" s="363"/>
      <c r="N2" s="363"/>
    </row>
    <row r="3" spans="1:14" ht="30" x14ac:dyDescent="0.25">
      <c r="A3" s="376"/>
      <c r="B3" s="376"/>
      <c r="C3" s="379"/>
      <c r="D3" s="379"/>
      <c r="E3" s="201" t="s">
        <v>134</v>
      </c>
      <c r="F3" s="201" t="s">
        <v>135</v>
      </c>
      <c r="G3" s="202" t="s">
        <v>136</v>
      </c>
      <c r="H3" s="202" t="s">
        <v>137</v>
      </c>
      <c r="I3" s="203" t="s">
        <v>138</v>
      </c>
      <c r="J3" s="204" t="s">
        <v>139</v>
      </c>
      <c r="K3" s="203" t="s">
        <v>140</v>
      </c>
      <c r="L3" s="203" t="s">
        <v>141</v>
      </c>
      <c r="M3" s="203" t="s">
        <v>142</v>
      </c>
      <c r="N3" s="203" t="s">
        <v>143</v>
      </c>
    </row>
    <row r="4" spans="1:14" ht="15.75" x14ac:dyDescent="0.25">
      <c r="A4" s="205" t="s">
        <v>144</v>
      </c>
      <c r="B4" s="206">
        <v>4035042</v>
      </c>
      <c r="C4" s="237">
        <v>528574</v>
      </c>
      <c r="D4" s="207">
        <v>176500</v>
      </c>
      <c r="E4" s="207">
        <f>D4*F4</f>
        <v>87720.5</v>
      </c>
      <c r="F4" s="208">
        <v>0.497</v>
      </c>
      <c r="G4" s="207">
        <f>D4*H4</f>
        <v>88713.3125</v>
      </c>
      <c r="H4" s="209">
        <v>0.50262499999999999</v>
      </c>
      <c r="I4" s="210">
        <f>D4*J4</f>
        <v>54979.75</v>
      </c>
      <c r="J4" s="211">
        <v>0.3115</v>
      </c>
      <c r="K4" s="207">
        <f>L4*D4</f>
        <v>28840.1</v>
      </c>
      <c r="L4" s="211">
        <v>0.16339999999999999</v>
      </c>
      <c r="M4" s="212"/>
      <c r="N4" s="213"/>
    </row>
    <row r="5" spans="1:14" ht="15.75" x14ac:dyDescent="0.25">
      <c r="A5" s="205" t="s">
        <v>145</v>
      </c>
      <c r="B5" s="206">
        <v>1500000</v>
      </c>
      <c r="C5" s="237">
        <v>1500000</v>
      </c>
      <c r="D5" s="207">
        <f>C5*0.76</f>
        <v>1140000</v>
      </c>
      <c r="E5" s="207">
        <f t="shared" ref="E5:E7" si="0">D5*F5</f>
        <v>592800</v>
      </c>
      <c r="F5" s="214">
        <v>0.52</v>
      </c>
      <c r="G5" s="207">
        <f t="shared" ref="G5:G7" si="1">D5*H5</f>
        <v>547200</v>
      </c>
      <c r="H5" s="209">
        <v>0.48</v>
      </c>
      <c r="I5" s="210">
        <f t="shared" ref="I5:I7" si="2">D5*J5</f>
        <v>611040</v>
      </c>
      <c r="J5" s="211">
        <v>0.53600000000000003</v>
      </c>
      <c r="K5" s="207">
        <f t="shared" ref="K5:K7" si="3">L5*D5</f>
        <v>217740</v>
      </c>
      <c r="L5" s="211">
        <v>0.191</v>
      </c>
      <c r="M5" s="207">
        <f>N5*D5</f>
        <v>117420</v>
      </c>
      <c r="N5" s="211">
        <v>0.10299999999999999</v>
      </c>
    </row>
    <row r="6" spans="1:14" ht="30" x14ac:dyDescent="0.25">
      <c r="A6" s="205" t="s">
        <v>146</v>
      </c>
      <c r="B6" s="206">
        <v>34000</v>
      </c>
      <c r="C6" s="237">
        <v>34000</v>
      </c>
      <c r="D6" s="207">
        <v>34000</v>
      </c>
      <c r="E6" s="207">
        <f t="shared" si="0"/>
        <v>17170</v>
      </c>
      <c r="F6" s="208">
        <v>0.505</v>
      </c>
      <c r="G6" s="207">
        <f t="shared" si="1"/>
        <v>16830</v>
      </c>
      <c r="H6" s="209">
        <v>0.49500000000000005</v>
      </c>
      <c r="I6" s="210">
        <f t="shared" si="2"/>
        <v>12457.6</v>
      </c>
      <c r="J6" s="211">
        <v>0.3664</v>
      </c>
      <c r="K6" s="207">
        <f t="shared" si="3"/>
        <v>5460.4</v>
      </c>
      <c r="L6" s="211">
        <v>0.16059999999999999</v>
      </c>
      <c r="M6" s="212"/>
      <c r="N6" s="213"/>
    </row>
    <row r="7" spans="1:14" ht="30" x14ac:dyDescent="0.25">
      <c r="A7" s="205" t="s">
        <v>147</v>
      </c>
      <c r="B7" s="206">
        <v>277985</v>
      </c>
      <c r="C7" s="237">
        <v>180690</v>
      </c>
      <c r="D7" s="207">
        <v>3200</v>
      </c>
      <c r="E7" s="207">
        <f t="shared" si="0"/>
        <v>1616</v>
      </c>
      <c r="F7" s="208">
        <v>0.505</v>
      </c>
      <c r="G7" s="207">
        <f t="shared" si="1"/>
        <v>1584</v>
      </c>
      <c r="H7" s="209">
        <v>0.495</v>
      </c>
      <c r="I7" s="210">
        <f t="shared" si="2"/>
        <v>1219.8399999999999</v>
      </c>
      <c r="J7" s="211">
        <v>0.38119999999999998</v>
      </c>
      <c r="K7" s="207">
        <f t="shared" si="3"/>
        <v>588.79999999999995</v>
      </c>
      <c r="L7" s="211">
        <v>0.184</v>
      </c>
      <c r="M7" s="212"/>
      <c r="N7" s="213"/>
    </row>
    <row r="8" spans="1:14" ht="15.75" x14ac:dyDescent="0.25">
      <c r="A8" s="215" t="s">
        <v>148</v>
      </c>
      <c r="B8" s="206">
        <f>SUM(B4:B7)</f>
        <v>5847027</v>
      </c>
      <c r="C8" s="216">
        <f>SUM(C4:C7)</f>
        <v>2243264</v>
      </c>
      <c r="D8" s="216">
        <f>ROUND(SUM(D4:D7),-3)</f>
        <v>1354000</v>
      </c>
      <c r="E8" s="216">
        <f>ROUND(SUM(E4:E7),-3)</f>
        <v>699000</v>
      </c>
      <c r="F8" s="217"/>
      <c r="G8" s="216">
        <f>ROUND(SUM(G4:G7),-3)</f>
        <v>654000</v>
      </c>
      <c r="H8" s="209"/>
      <c r="I8" s="216">
        <f>ROUND(SUM(I4:I7),-3)</f>
        <v>680000</v>
      </c>
      <c r="J8" s="218"/>
      <c r="K8" s="216">
        <f>ROUND(SUM(K4:K7),-3)</f>
        <v>253000</v>
      </c>
      <c r="L8" s="218"/>
      <c r="M8" s="219"/>
      <c r="N8" s="220"/>
    </row>
    <row r="9" spans="1:14" x14ac:dyDescent="0.25">
      <c r="A9" s="221"/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</row>
    <row r="10" spans="1:14" x14ac:dyDescent="0.25">
      <c r="A10" s="364" t="s">
        <v>149</v>
      </c>
      <c r="B10" s="365"/>
      <c r="C10" s="366"/>
      <c r="D10" s="222" t="s">
        <v>150</v>
      </c>
      <c r="E10" s="222" t="s">
        <v>151</v>
      </c>
      <c r="F10" s="223"/>
      <c r="G10" s="367" t="s">
        <v>152</v>
      </c>
      <c r="H10" s="368"/>
      <c r="I10" s="368"/>
      <c r="J10" s="368"/>
      <c r="K10" s="368"/>
      <c r="L10" s="368"/>
      <c r="M10" s="368"/>
      <c r="N10" s="369"/>
    </row>
    <row r="11" spans="1:14" x14ac:dyDescent="0.25">
      <c r="A11" s="373" t="s">
        <v>153</v>
      </c>
      <c r="B11" s="373"/>
      <c r="C11" s="373"/>
      <c r="D11" s="224"/>
      <c r="E11" s="224"/>
      <c r="F11" s="223"/>
      <c r="G11" s="370"/>
      <c r="H11" s="371"/>
      <c r="I11" s="371"/>
      <c r="J11" s="371"/>
      <c r="K11" s="371"/>
      <c r="L11" s="371"/>
      <c r="M11" s="371"/>
      <c r="N11" s="372"/>
    </row>
    <row r="12" spans="1:14" x14ac:dyDescent="0.25">
      <c r="A12" s="373" t="s">
        <v>154</v>
      </c>
      <c r="B12" s="373"/>
      <c r="C12" s="373"/>
      <c r="D12" s="224"/>
      <c r="E12" s="224"/>
      <c r="F12" s="223"/>
      <c r="G12" s="221"/>
      <c r="H12" s="221"/>
      <c r="I12" s="221"/>
      <c r="J12" s="221"/>
      <c r="K12" s="221"/>
      <c r="L12" s="221"/>
      <c r="M12" s="221"/>
      <c r="N12" s="221"/>
    </row>
    <row r="13" spans="1:14" x14ac:dyDescent="0.25">
      <c r="A13" s="373" t="s">
        <v>155</v>
      </c>
      <c r="B13" s="373"/>
      <c r="C13" s="373"/>
      <c r="D13" s="224"/>
      <c r="E13" s="224"/>
      <c r="F13" s="223"/>
      <c r="G13" s="221"/>
      <c r="H13" s="221"/>
      <c r="I13" s="221"/>
      <c r="J13" s="221"/>
      <c r="K13" s="221"/>
      <c r="L13" s="221"/>
      <c r="M13" s="221"/>
      <c r="N13" s="221"/>
    </row>
    <row r="14" spans="1:14" x14ac:dyDescent="0.25">
      <c r="A14" s="373" t="s">
        <v>156</v>
      </c>
      <c r="B14" s="373"/>
      <c r="C14" s="373"/>
      <c r="D14" s="224"/>
      <c r="E14" s="224"/>
      <c r="F14" s="223"/>
      <c r="G14" s="221"/>
      <c r="H14" s="221"/>
      <c r="I14" s="221"/>
      <c r="J14" s="221"/>
      <c r="K14" s="221"/>
      <c r="L14" s="221"/>
      <c r="M14" s="221"/>
      <c r="N14" s="221"/>
    </row>
    <row r="15" spans="1:14" x14ac:dyDescent="0.25">
      <c r="A15" s="373" t="s">
        <v>157</v>
      </c>
      <c r="B15" s="373"/>
      <c r="C15" s="373"/>
      <c r="D15" s="224"/>
      <c r="E15" s="224"/>
      <c r="F15" s="223"/>
      <c r="G15" s="221"/>
      <c r="H15" s="221"/>
      <c r="I15" s="221"/>
      <c r="J15" s="221"/>
      <c r="K15" s="221"/>
      <c r="L15" s="221"/>
      <c r="M15" s="221"/>
      <c r="N15" s="221"/>
    </row>
    <row r="16" spans="1:14" x14ac:dyDescent="0.25">
      <c r="A16" s="373" t="s">
        <v>158</v>
      </c>
      <c r="B16" s="373"/>
      <c r="C16" s="373"/>
      <c r="D16" s="224"/>
      <c r="E16" s="224"/>
      <c r="F16" s="223"/>
      <c r="G16" s="221"/>
      <c r="H16" s="221"/>
      <c r="I16" s="221"/>
      <c r="J16" s="221"/>
      <c r="K16" s="221"/>
      <c r="L16" s="221"/>
      <c r="M16" s="221"/>
      <c r="N16" s="221"/>
    </row>
    <row r="17" spans="1:14" x14ac:dyDescent="0.25">
      <c r="A17" s="373" t="s">
        <v>167</v>
      </c>
      <c r="B17" s="373"/>
      <c r="C17" s="373"/>
      <c r="D17" s="224">
        <v>1</v>
      </c>
      <c r="E17" s="224">
        <v>1</v>
      </c>
      <c r="F17" s="223"/>
      <c r="G17" s="221"/>
      <c r="H17" s="221"/>
      <c r="I17" s="221"/>
      <c r="J17" s="221"/>
      <c r="K17" s="221"/>
      <c r="L17" s="221"/>
      <c r="M17" s="221"/>
      <c r="N17" s="221"/>
    </row>
    <row r="21" spans="1:14" x14ac:dyDescent="0.25">
      <c r="G21" s="243"/>
      <c r="H21" s="243"/>
    </row>
  </sheetData>
  <mergeCells count="14">
    <mergeCell ref="E1:N2"/>
    <mergeCell ref="A10:C10"/>
    <mergeCell ref="G10:N11"/>
    <mergeCell ref="A11:C11"/>
    <mergeCell ref="A17:C17"/>
    <mergeCell ref="A1:A3"/>
    <mergeCell ref="B1:B3"/>
    <mergeCell ref="C1:C3"/>
    <mergeCell ref="D1:D3"/>
    <mergeCell ref="A12:C12"/>
    <mergeCell ref="A13:C13"/>
    <mergeCell ref="A14:C14"/>
    <mergeCell ref="A15:C15"/>
    <mergeCell ref="A16:C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"/>
  <sheetViews>
    <sheetView workbookViewId="0">
      <selection activeCell="I17" sqref="I17"/>
    </sheetView>
  </sheetViews>
  <sheetFormatPr defaultRowHeight="15" x14ac:dyDescent="0.25"/>
  <cols>
    <col min="2" max="2" width="6.42578125" customWidth="1"/>
    <col min="3" max="3" width="15.5703125" bestFit="1" customWidth="1"/>
    <col min="4" max="4" width="9.5703125" customWidth="1"/>
    <col min="5" max="14" width="9.85546875" bestFit="1" customWidth="1"/>
    <col min="15" max="15" width="10.5703125" customWidth="1"/>
  </cols>
  <sheetData>
    <row r="2" spans="1:15" x14ac:dyDescent="0.25">
      <c r="A2" t="s">
        <v>244</v>
      </c>
    </row>
    <row r="3" spans="1:15" x14ac:dyDescent="0.25">
      <c r="C3" s="282" t="s">
        <v>243</v>
      </c>
      <c r="D3" s="285" t="s">
        <v>228</v>
      </c>
      <c r="E3" s="285" t="s">
        <v>229</v>
      </c>
      <c r="F3" s="285" t="s">
        <v>230</v>
      </c>
      <c r="G3" s="285" t="s">
        <v>231</v>
      </c>
      <c r="H3" s="285" t="s">
        <v>232</v>
      </c>
      <c r="I3" s="285" t="s">
        <v>233</v>
      </c>
      <c r="J3" s="285" t="s">
        <v>234</v>
      </c>
      <c r="K3" s="285" t="s">
        <v>235</v>
      </c>
      <c r="L3" s="285" t="s">
        <v>236</v>
      </c>
      <c r="M3" s="285" t="s">
        <v>237</v>
      </c>
      <c r="N3" s="285" t="s">
        <v>238</v>
      </c>
      <c r="O3" s="285" t="s">
        <v>239</v>
      </c>
    </row>
    <row r="4" spans="1:15" x14ac:dyDescent="0.25">
      <c r="A4" s="283" t="s">
        <v>240</v>
      </c>
      <c r="B4" s="283" t="s">
        <v>58</v>
      </c>
      <c r="C4" s="283">
        <v>1</v>
      </c>
      <c r="D4" s="284">
        <v>50000</v>
      </c>
      <c r="E4" s="284">
        <f>D4+13000</f>
        <v>63000</v>
      </c>
      <c r="F4" s="284">
        <f t="shared" ref="F4:O4" si="0">E4+13000</f>
        <v>76000</v>
      </c>
      <c r="G4" s="284">
        <f t="shared" si="0"/>
        <v>89000</v>
      </c>
      <c r="H4" s="284">
        <f t="shared" si="0"/>
        <v>102000</v>
      </c>
      <c r="I4" s="284">
        <f t="shared" si="0"/>
        <v>115000</v>
      </c>
      <c r="J4" s="284">
        <f t="shared" si="0"/>
        <v>128000</v>
      </c>
      <c r="K4" s="284">
        <f t="shared" si="0"/>
        <v>141000</v>
      </c>
      <c r="L4" s="284">
        <f t="shared" si="0"/>
        <v>154000</v>
      </c>
      <c r="M4" s="284">
        <f t="shared" si="0"/>
        <v>167000</v>
      </c>
      <c r="N4" s="284">
        <f t="shared" si="0"/>
        <v>180000</v>
      </c>
      <c r="O4" s="284">
        <f t="shared" si="0"/>
        <v>193000</v>
      </c>
    </row>
    <row r="5" spans="1:15" x14ac:dyDescent="0.25">
      <c r="B5" t="s">
        <v>242</v>
      </c>
      <c r="C5">
        <v>186</v>
      </c>
      <c r="D5" s="281">
        <f>D4*$C$5</f>
        <v>9300000</v>
      </c>
      <c r="E5" s="281">
        <f t="shared" ref="E5:O5" si="1">E4*$C$5</f>
        <v>11718000</v>
      </c>
      <c r="F5" s="281">
        <f t="shared" si="1"/>
        <v>14136000</v>
      </c>
      <c r="G5" s="281">
        <f t="shared" si="1"/>
        <v>16554000</v>
      </c>
      <c r="H5" s="281">
        <f t="shared" si="1"/>
        <v>18972000</v>
      </c>
      <c r="I5" s="281">
        <f t="shared" si="1"/>
        <v>21390000</v>
      </c>
      <c r="J5" s="281">
        <f t="shared" si="1"/>
        <v>23808000</v>
      </c>
      <c r="K5" s="281">
        <f t="shared" si="1"/>
        <v>26226000</v>
      </c>
      <c r="L5" s="281">
        <f t="shared" si="1"/>
        <v>28644000</v>
      </c>
      <c r="M5" s="281">
        <f t="shared" si="1"/>
        <v>31062000</v>
      </c>
      <c r="N5" s="281">
        <f t="shared" si="1"/>
        <v>33480000</v>
      </c>
      <c r="O5" s="281">
        <f t="shared" si="1"/>
        <v>35898000</v>
      </c>
    </row>
    <row r="6" spans="1:15" x14ac:dyDescent="0.25">
      <c r="A6" s="283" t="s">
        <v>5</v>
      </c>
      <c r="B6" s="283" t="s">
        <v>58</v>
      </c>
      <c r="C6" s="283">
        <v>1</v>
      </c>
      <c r="D6" s="283">
        <v>2300</v>
      </c>
      <c r="E6" s="283">
        <f>D6+3018+2</f>
        <v>5320</v>
      </c>
      <c r="F6" s="283">
        <f t="shared" ref="F6:O6" si="2">E6+3018</f>
        <v>8338</v>
      </c>
      <c r="G6" s="283">
        <f t="shared" si="2"/>
        <v>11356</v>
      </c>
      <c r="H6" s="283">
        <f t="shared" si="2"/>
        <v>14374</v>
      </c>
      <c r="I6" s="283">
        <f t="shared" si="2"/>
        <v>17392</v>
      </c>
      <c r="J6" s="283">
        <f t="shared" si="2"/>
        <v>20410</v>
      </c>
      <c r="K6" s="283">
        <f t="shared" si="2"/>
        <v>23428</v>
      </c>
      <c r="L6" s="283">
        <f t="shared" si="2"/>
        <v>26446</v>
      </c>
      <c r="M6" s="283">
        <f t="shared" si="2"/>
        <v>29464</v>
      </c>
      <c r="N6" s="283">
        <f t="shared" si="2"/>
        <v>32482</v>
      </c>
      <c r="O6" s="283">
        <f t="shared" si="2"/>
        <v>35500</v>
      </c>
    </row>
    <row r="7" spans="1:15" x14ac:dyDescent="0.25">
      <c r="B7" t="s">
        <v>242</v>
      </c>
      <c r="C7">
        <v>186</v>
      </c>
      <c r="D7" s="281">
        <f>$C$7*D6</f>
        <v>427800</v>
      </c>
      <c r="E7" s="281">
        <f t="shared" ref="E7:O7" si="3">$C$7*E6</f>
        <v>989520</v>
      </c>
      <c r="F7" s="281">
        <f t="shared" si="3"/>
        <v>1550868</v>
      </c>
      <c r="G7" s="281">
        <f t="shared" si="3"/>
        <v>2112216</v>
      </c>
      <c r="H7" s="281">
        <f t="shared" si="3"/>
        <v>2673564</v>
      </c>
      <c r="I7" s="281">
        <f t="shared" si="3"/>
        <v>3234912</v>
      </c>
      <c r="J7" s="281">
        <f t="shared" si="3"/>
        <v>3796260</v>
      </c>
      <c r="K7" s="281">
        <f t="shared" si="3"/>
        <v>4357608</v>
      </c>
      <c r="L7" s="281">
        <f t="shared" si="3"/>
        <v>4918956</v>
      </c>
      <c r="M7" s="281">
        <f t="shared" si="3"/>
        <v>5480304</v>
      </c>
      <c r="N7" s="281">
        <f t="shared" si="3"/>
        <v>6041652</v>
      </c>
      <c r="O7" s="281">
        <f t="shared" si="3"/>
        <v>6603000</v>
      </c>
    </row>
    <row r="8" spans="1:15" x14ac:dyDescent="0.25">
      <c r="A8" s="283" t="s">
        <v>241</v>
      </c>
      <c r="B8" s="283" t="s">
        <v>58</v>
      </c>
      <c r="C8" s="283">
        <v>1</v>
      </c>
      <c r="D8" s="283">
        <v>10200</v>
      </c>
      <c r="E8" s="283">
        <v>10200</v>
      </c>
      <c r="F8" s="283">
        <v>10200</v>
      </c>
      <c r="G8" s="283">
        <v>10200</v>
      </c>
      <c r="H8" s="283">
        <v>10200</v>
      </c>
      <c r="I8" s="283">
        <v>10200</v>
      </c>
      <c r="J8" s="283">
        <v>10200</v>
      </c>
      <c r="K8" s="283">
        <v>10200</v>
      </c>
      <c r="L8" s="283">
        <v>10200</v>
      </c>
      <c r="M8" s="283">
        <v>10200</v>
      </c>
      <c r="N8" s="283">
        <v>10200</v>
      </c>
      <c r="O8" s="283">
        <v>10200</v>
      </c>
    </row>
    <row r="9" spans="1:15" x14ac:dyDescent="0.25">
      <c r="B9" t="s">
        <v>242</v>
      </c>
      <c r="C9">
        <v>186</v>
      </c>
      <c r="D9">
        <f>D8*$C$9</f>
        <v>1897200</v>
      </c>
      <c r="E9">
        <f t="shared" ref="E9:O9" si="4">E8*$C$9</f>
        <v>1897200</v>
      </c>
      <c r="F9">
        <f t="shared" si="4"/>
        <v>1897200</v>
      </c>
      <c r="G9">
        <f t="shared" si="4"/>
        <v>1897200</v>
      </c>
      <c r="H9">
        <f t="shared" si="4"/>
        <v>1897200</v>
      </c>
      <c r="I9">
        <f t="shared" si="4"/>
        <v>1897200</v>
      </c>
      <c r="J9">
        <f t="shared" si="4"/>
        <v>1897200</v>
      </c>
      <c r="K9">
        <f t="shared" si="4"/>
        <v>1897200</v>
      </c>
      <c r="L9">
        <f t="shared" si="4"/>
        <v>1897200</v>
      </c>
      <c r="M9">
        <f t="shared" si="4"/>
        <v>1897200</v>
      </c>
      <c r="N9">
        <f t="shared" si="4"/>
        <v>1897200</v>
      </c>
      <c r="O9">
        <f t="shared" si="4"/>
        <v>1897200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Readme</vt:lpstr>
      <vt:lpstr>Summary</vt:lpstr>
      <vt:lpstr>Outcome 1</vt:lpstr>
      <vt:lpstr>Outcome 2</vt:lpstr>
      <vt:lpstr>Outcome  3</vt:lpstr>
      <vt:lpstr>PIN</vt:lpstr>
      <vt:lpstr>Calculation</vt:lpstr>
      <vt:lpstr>'Outcome  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Hrayr Wannis</dc:creator>
  <cp:lastModifiedBy>Hiba Taha</cp:lastModifiedBy>
  <cp:lastPrinted>2016-10-17T10:34:11Z</cp:lastPrinted>
  <dcterms:created xsi:type="dcterms:W3CDTF">2014-08-29T13:09:43Z</dcterms:created>
  <dcterms:modified xsi:type="dcterms:W3CDTF">2018-06-11T11:28:11Z</dcterms:modified>
</cp:coreProperties>
</file>